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GEETHA BACKUP\sangeetha\TDA\FY 2021-22\WEBSITE\NOV 2021\"/>
    </mc:Choice>
  </mc:AlternateContent>
  <xr:revisionPtr revIDLastSave="0" documentId="13_ncr:1_{86C70E2D-643E-4028-AFB5-8180A4737F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OV 2021 TDA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xlfn_AGGREGATE">NA()</definedName>
    <definedName name="___xlfn_IFERROR">NA()</definedName>
    <definedName name="__xlfn_AGGREGATE">NA()</definedName>
    <definedName name="__xlfn_IFERROR">NA()</definedName>
    <definedName name="_xlnm._FilterDatabase" localSheetId="0" hidden="1">'NOV 2021 TDA'!$A$5:$AQ$91</definedName>
    <definedName name="AAAA">[1]dropdown!$I$2:$I$20</definedName>
    <definedName name="AL">[2]dropdown!$J$2:$J$9</definedName>
    <definedName name="cdc">[3]dropdown!$H$2:$H$124</definedName>
    <definedName name="Circle" localSheetId="0">[4]dropdown!$H$2:$H$124</definedName>
    <definedName name="Circle">[5]dropdown!$H$2:$H$124</definedName>
    <definedName name="circle2">[6]dropdown!$H$2:$H$124</definedName>
    <definedName name="cvd">[7]dropdown!$J$2:$J$9</definedName>
    <definedName name="d">[8]dropdown!$I$2:$I$23</definedName>
    <definedName name="dafdf">[9]dropdown!$I$2:$I$21</definedName>
    <definedName name="DD">[10]dropdown!$J$2:$J$9</definedName>
    <definedName name="dfd">[11]dropdown!$I$2:$I$21</definedName>
    <definedName name="fadfa">[9]dropdown!$I$2:$I$21</definedName>
    <definedName name="GST" localSheetId="0">[4]dropdown!$J$2:$J$9</definedName>
    <definedName name="GST">[5]dropdown!$J$2:$J$9</definedName>
    <definedName name="GSTRE">[12]dropdown!$H$2:$H$124</definedName>
    <definedName name="j">[13]dropdown!$J$2:$J$9</definedName>
    <definedName name="KANCHEEPURAM">[14]dropdown!$J$2:$J$9</definedName>
    <definedName name="KANCHI">[14]dropdown!$I$2:$I$21</definedName>
    <definedName name="l">[15]dropdown!$J$2:$J$9</definedName>
    <definedName name="ld">[16]dropdown!$I$2:$I$23</definedName>
    <definedName name="Ldmonthlylist1">[17]Sheet3!$D$20:$D$35</definedName>
    <definedName name="Monthlylist">[17]Sheet3!$C$3:$C$35</definedName>
    <definedName name="nagai">[18]dropdown!$H$2:$H$124</definedName>
    <definedName name="NCTPS">[19]AdarshGSTPosition!$H$2:$H$124</definedName>
    <definedName name="OK">[20]dropdown!$I$2:$I$21</definedName>
    <definedName name="s">[21]dropdown!$I$2:$I$23</definedName>
    <definedName name="sadfadfadf">[9]dropdown!$I$2:$I$21</definedName>
    <definedName name="SALE">[22]dropdown!$H$2:$H$127</definedName>
    <definedName name="sales">[23]dropdown!$I$2:$I$21</definedName>
    <definedName name="Sales_Account" localSheetId="0">[24]dropdown!$I$2:$I$21</definedName>
    <definedName name="Sales_Account">[5]dropdown!$I$2:$I$16</definedName>
    <definedName name="Sales_Account1">[25]dropdown!$I$2:$I$23</definedName>
    <definedName name="scrap">#N/A</definedName>
    <definedName name="SUPPLIER">[26]Inventory!$A$2:$A$36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07" i="4" l="1"/>
  <c r="AR106" i="4"/>
  <c r="AR105" i="4"/>
  <c r="AR104" i="4"/>
  <c r="AQ107" i="4"/>
  <c r="AQ106" i="4"/>
  <c r="AQ105" i="4"/>
  <c r="AQ104" i="4"/>
  <c r="L105" i="4" l="1"/>
  <c r="AS99" i="4" l="1"/>
  <c r="AR99" i="4"/>
  <c r="AQ99" i="4"/>
  <c r="AP99" i="4"/>
  <c r="AG93" i="4"/>
  <c r="AF93" i="4"/>
  <c r="AE93" i="4"/>
  <c r="AD93" i="4"/>
  <c r="AP93" i="4" s="1"/>
  <c r="P93" i="4"/>
  <c r="AS93" i="4" s="1"/>
  <c r="O93" i="4"/>
  <c r="AR93" i="4" s="1"/>
  <c r="N93" i="4"/>
  <c r="AQ93" i="4" s="1"/>
  <c r="AX91" i="4"/>
  <c r="AW91" i="4"/>
  <c r="AV91" i="4"/>
  <c r="AU91" i="4"/>
  <c r="U91" i="4"/>
  <c r="U95" i="4" s="1"/>
  <c r="T91" i="4"/>
  <c r="T95" i="4" s="1"/>
  <c r="S91" i="4"/>
  <c r="S95" i="4" s="1"/>
  <c r="R91" i="4"/>
  <c r="R95" i="4" s="1"/>
  <c r="P91" i="4"/>
  <c r="O91" i="4"/>
  <c r="N91" i="4"/>
  <c r="M91" i="4"/>
  <c r="K91" i="4"/>
  <c r="K95" i="4" s="1"/>
  <c r="J91" i="4"/>
  <c r="J95" i="4" s="1"/>
  <c r="I91" i="4"/>
  <c r="I95" i="4" s="1"/>
  <c r="H91" i="4"/>
  <c r="H95" i="4" s="1"/>
  <c r="G91" i="4"/>
  <c r="G95" i="4" s="1"/>
  <c r="F91" i="4"/>
  <c r="F95" i="4" s="1"/>
  <c r="E91" i="4"/>
  <c r="E95" i="4" s="1"/>
  <c r="D91" i="4"/>
  <c r="D95" i="4" s="1"/>
  <c r="AS90" i="4"/>
  <c r="AR90" i="4"/>
  <c r="AQ90" i="4"/>
  <c r="AP90" i="4"/>
  <c r="AS89" i="4"/>
  <c r="AR89" i="4"/>
  <c r="AQ89" i="4"/>
  <c r="AP89" i="4"/>
  <c r="AS88" i="4"/>
  <c r="AR88" i="4"/>
  <c r="AQ88" i="4"/>
  <c r="AP88" i="4"/>
  <c r="AS87" i="4"/>
  <c r="AR87" i="4"/>
  <c r="AQ87" i="4"/>
  <c r="AP87" i="4"/>
  <c r="AS86" i="4"/>
  <c r="AR86" i="4"/>
  <c r="AQ86" i="4"/>
  <c r="AP86" i="4"/>
  <c r="AS85" i="4"/>
  <c r="AR85" i="4"/>
  <c r="AQ85" i="4"/>
  <c r="AP85" i="4"/>
  <c r="AS84" i="4"/>
  <c r="AR84" i="4"/>
  <c r="AQ84" i="4"/>
  <c r="AP84" i="4"/>
  <c r="AS83" i="4"/>
  <c r="AR83" i="4"/>
  <c r="AQ83" i="4"/>
  <c r="AP83" i="4"/>
  <c r="AS82" i="4"/>
  <c r="AR82" i="4"/>
  <c r="AQ82" i="4"/>
  <c r="AP82" i="4"/>
  <c r="AS81" i="4"/>
  <c r="AR81" i="4"/>
  <c r="AQ81" i="4"/>
  <c r="AP81" i="4"/>
  <c r="AS80" i="4"/>
  <c r="AR80" i="4"/>
  <c r="AQ80" i="4"/>
  <c r="AP80" i="4"/>
  <c r="AS79" i="4"/>
  <c r="AR79" i="4"/>
  <c r="AQ79" i="4"/>
  <c r="AP79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AS78" i="4" s="1"/>
  <c r="X78" i="4"/>
  <c r="AR78" i="4" s="1"/>
  <c r="W78" i="4"/>
  <c r="AQ78" i="4" s="1"/>
  <c r="V78" i="4"/>
  <c r="AP78" i="4" s="1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AS77" i="4" s="1"/>
  <c r="X77" i="4"/>
  <c r="AR77" i="4" s="1"/>
  <c r="W77" i="4"/>
  <c r="AQ77" i="4" s="1"/>
  <c r="V77" i="4"/>
  <c r="AP77" i="4" s="1"/>
  <c r="AS76" i="4"/>
  <c r="AR76" i="4"/>
  <c r="AQ76" i="4"/>
  <c r="AP76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AS75" i="4" s="1"/>
  <c r="X75" i="4"/>
  <c r="AR75" i="4" s="1"/>
  <c r="W75" i="4"/>
  <c r="AQ75" i="4" s="1"/>
  <c r="V75" i="4"/>
  <c r="AP75" i="4" s="1"/>
  <c r="AS74" i="4"/>
  <c r="AR74" i="4"/>
  <c r="AQ74" i="4"/>
  <c r="AP74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AR73" i="4" s="1"/>
  <c r="W73" i="4"/>
  <c r="AQ73" i="4" s="1"/>
  <c r="V73" i="4"/>
  <c r="AS72" i="4"/>
  <c r="AR72" i="4"/>
  <c r="AQ72" i="4"/>
  <c r="AP72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AS71" i="4" s="1"/>
  <c r="X71" i="4"/>
  <c r="AR71" i="4" s="1"/>
  <c r="W71" i="4"/>
  <c r="AQ71" i="4" s="1"/>
  <c r="V71" i="4"/>
  <c r="AP71" i="4" s="1"/>
  <c r="AS70" i="4"/>
  <c r="AR70" i="4"/>
  <c r="AQ70" i="4"/>
  <c r="AP70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AS69" i="4" s="1"/>
  <c r="X69" i="4"/>
  <c r="AR69" i="4" s="1"/>
  <c r="W69" i="4"/>
  <c r="AQ69" i="4" s="1"/>
  <c r="V69" i="4"/>
  <c r="AP69" i="4" s="1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AS68" i="4" s="1"/>
  <c r="X68" i="4"/>
  <c r="AR68" i="4" s="1"/>
  <c r="W68" i="4"/>
  <c r="AQ68" i="4" s="1"/>
  <c r="V68" i="4"/>
  <c r="AP68" i="4" s="1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AS67" i="4" s="1"/>
  <c r="X67" i="4"/>
  <c r="AR67" i="4" s="1"/>
  <c r="W67" i="4"/>
  <c r="AQ67" i="4" s="1"/>
  <c r="V67" i="4"/>
  <c r="AP67" i="4" s="1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AS66" i="4" s="1"/>
  <c r="X66" i="4"/>
  <c r="AR66" i="4" s="1"/>
  <c r="W66" i="4"/>
  <c r="AQ66" i="4" s="1"/>
  <c r="V66" i="4"/>
  <c r="AP66" i="4" s="1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AS65" i="4" s="1"/>
  <c r="X65" i="4"/>
  <c r="AR65" i="4" s="1"/>
  <c r="W65" i="4"/>
  <c r="AQ65" i="4" s="1"/>
  <c r="V65" i="4"/>
  <c r="AP65" i="4" s="1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AS64" i="4" s="1"/>
  <c r="X64" i="4"/>
  <c r="AR64" i="4" s="1"/>
  <c r="W64" i="4"/>
  <c r="AQ64" i="4" s="1"/>
  <c r="V64" i="4"/>
  <c r="AP64" i="4" s="1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AS63" i="4" s="1"/>
  <c r="X63" i="4"/>
  <c r="AR63" i="4" s="1"/>
  <c r="W63" i="4"/>
  <c r="AQ63" i="4" s="1"/>
  <c r="V63" i="4"/>
  <c r="AP63" i="4" s="1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AS62" i="4" s="1"/>
  <c r="X62" i="4"/>
  <c r="AR62" i="4" s="1"/>
  <c r="W62" i="4"/>
  <c r="AQ62" i="4" s="1"/>
  <c r="V62" i="4"/>
  <c r="AP62" i="4" s="1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AS61" i="4" s="1"/>
  <c r="X61" i="4"/>
  <c r="AR61" i="4" s="1"/>
  <c r="W61" i="4"/>
  <c r="AQ61" i="4" s="1"/>
  <c r="V61" i="4"/>
  <c r="AP61" i="4" s="1"/>
  <c r="AS60" i="4"/>
  <c r="AR60" i="4"/>
  <c r="AQ60" i="4"/>
  <c r="AP60" i="4"/>
  <c r="AS59" i="4"/>
  <c r="AR59" i="4"/>
  <c r="AQ59" i="4"/>
  <c r="AP59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AS58" i="4" s="1"/>
  <c r="X58" i="4"/>
  <c r="AR58" i="4" s="1"/>
  <c r="W58" i="4"/>
  <c r="AQ58" i="4" s="1"/>
  <c r="V58" i="4"/>
  <c r="AP58" i="4" s="1"/>
  <c r="AS57" i="4"/>
  <c r="AR57" i="4"/>
  <c r="AQ57" i="4"/>
  <c r="AP57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AR56" i="4" s="1"/>
  <c r="W56" i="4"/>
  <c r="AQ56" i="4" s="1"/>
  <c r="V56" i="4"/>
  <c r="AS55" i="4"/>
  <c r="AR55" i="4"/>
  <c r="AQ55" i="4"/>
  <c r="AP55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AS54" i="4" s="1"/>
  <c r="X54" i="4"/>
  <c r="AR54" i="4" s="1"/>
  <c r="W54" i="4"/>
  <c r="AQ54" i="4" s="1"/>
  <c r="V54" i="4"/>
  <c r="AP54" i="4" s="1"/>
  <c r="AS53" i="4"/>
  <c r="AR53" i="4"/>
  <c r="AQ53" i="4"/>
  <c r="AP53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AR52" i="4" s="1"/>
  <c r="W52" i="4"/>
  <c r="AQ52" i="4" s="1"/>
  <c r="V52" i="4"/>
  <c r="AP52" i="4" s="1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AS51" i="4" s="1"/>
  <c r="X51" i="4"/>
  <c r="AR51" i="4" s="1"/>
  <c r="W51" i="4"/>
  <c r="AQ51" i="4" s="1"/>
  <c r="V51" i="4"/>
  <c r="AP51" i="4" s="1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AS50" i="4" s="1"/>
  <c r="X50" i="4"/>
  <c r="AR50" i="4" s="1"/>
  <c r="W50" i="4"/>
  <c r="AQ50" i="4" s="1"/>
  <c r="V50" i="4"/>
  <c r="AP50" i="4" s="1"/>
  <c r="AS49" i="4"/>
  <c r="AR49" i="4"/>
  <c r="AQ49" i="4"/>
  <c r="AP49" i="4"/>
  <c r="AS48" i="4"/>
  <c r="AR48" i="4"/>
  <c r="AQ48" i="4"/>
  <c r="AP48" i="4"/>
  <c r="AS47" i="4"/>
  <c r="AR47" i="4"/>
  <c r="AQ47" i="4"/>
  <c r="AP47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AS46" i="4" s="1"/>
  <c r="X46" i="4"/>
  <c r="AR46" i="4" s="1"/>
  <c r="W46" i="4"/>
  <c r="AQ46" i="4" s="1"/>
  <c r="V46" i="4"/>
  <c r="AP46" i="4" s="1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AS45" i="4" s="1"/>
  <c r="X45" i="4"/>
  <c r="AR45" i="4" s="1"/>
  <c r="W45" i="4"/>
  <c r="AQ45" i="4" s="1"/>
  <c r="V45" i="4"/>
  <c r="AP45" i="4" s="1"/>
  <c r="AS44" i="4"/>
  <c r="AR44" i="4"/>
  <c r="AQ44" i="4"/>
  <c r="AP44" i="4"/>
  <c r="AS43" i="4"/>
  <c r="AR43" i="4"/>
  <c r="AQ43" i="4"/>
  <c r="AP43" i="4"/>
  <c r="AS42" i="4"/>
  <c r="AR42" i="4"/>
  <c r="AQ42" i="4"/>
  <c r="AP42" i="4"/>
  <c r="AS41" i="4"/>
  <c r="AR41" i="4"/>
  <c r="AQ41" i="4"/>
  <c r="AP41" i="4"/>
  <c r="AS40" i="4"/>
  <c r="AR40" i="4"/>
  <c r="AQ40" i="4"/>
  <c r="AP40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AS39" i="4" s="1"/>
  <c r="X39" i="4"/>
  <c r="AR39" i="4" s="1"/>
  <c r="W39" i="4"/>
  <c r="AQ39" i="4" s="1"/>
  <c r="V39" i="4"/>
  <c r="AP39" i="4" s="1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AS38" i="4" s="1"/>
  <c r="X38" i="4"/>
  <c r="AR38" i="4" s="1"/>
  <c r="W38" i="4"/>
  <c r="AQ38" i="4" s="1"/>
  <c r="V38" i="4"/>
  <c r="AP38" i="4" s="1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AS37" i="4" s="1"/>
  <c r="X37" i="4"/>
  <c r="AR37" i="4" s="1"/>
  <c r="W37" i="4"/>
  <c r="AQ37" i="4" s="1"/>
  <c r="V37" i="4"/>
  <c r="AP37" i="4" s="1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AS36" i="4" s="1"/>
  <c r="X36" i="4"/>
  <c r="AR36" i="4" s="1"/>
  <c r="W36" i="4"/>
  <c r="AQ36" i="4" s="1"/>
  <c r="V36" i="4"/>
  <c r="AP36" i="4" s="1"/>
  <c r="AS35" i="4"/>
  <c r="AR35" i="4"/>
  <c r="AQ35" i="4"/>
  <c r="AP35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AS34" i="4" s="1"/>
  <c r="X34" i="4"/>
  <c r="AR34" i="4" s="1"/>
  <c r="W34" i="4"/>
  <c r="AQ34" i="4" s="1"/>
  <c r="V34" i="4"/>
  <c r="AP34" i="4" s="1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AS33" i="4" s="1"/>
  <c r="X33" i="4"/>
  <c r="AR33" i="4" s="1"/>
  <c r="W33" i="4"/>
  <c r="V33" i="4"/>
  <c r="AP33" i="4" s="1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AS32" i="4" s="1"/>
  <c r="X32" i="4"/>
  <c r="AR32" i="4" s="1"/>
  <c r="W32" i="4"/>
  <c r="AQ32" i="4" s="1"/>
  <c r="V32" i="4"/>
  <c r="AP32" i="4" s="1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AS31" i="4" s="1"/>
  <c r="X31" i="4"/>
  <c r="AR31" i="4" s="1"/>
  <c r="W31" i="4"/>
  <c r="AQ31" i="4" s="1"/>
  <c r="V31" i="4"/>
  <c r="AP31" i="4" s="1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AS30" i="4" s="1"/>
  <c r="X30" i="4"/>
  <c r="AR30" i="4" s="1"/>
  <c r="W30" i="4"/>
  <c r="AQ30" i="4" s="1"/>
  <c r="V30" i="4"/>
  <c r="AP30" i="4" s="1"/>
  <c r="AS29" i="4"/>
  <c r="AR29" i="4"/>
  <c r="AQ29" i="4"/>
  <c r="AP29" i="4"/>
  <c r="AS28" i="4"/>
  <c r="AR28" i="4"/>
  <c r="AQ28" i="4"/>
  <c r="AP28" i="4"/>
  <c r="AS27" i="4"/>
  <c r="AR27" i="4"/>
  <c r="AQ27" i="4"/>
  <c r="AP27" i="4"/>
  <c r="AS26" i="4"/>
  <c r="AR26" i="4"/>
  <c r="AQ26" i="4"/>
  <c r="AP26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AS25" i="4" s="1"/>
  <c r="X25" i="4"/>
  <c r="AR25" i="4" s="1"/>
  <c r="W25" i="4"/>
  <c r="AQ25" i="4" s="1"/>
  <c r="V25" i="4"/>
  <c r="AP25" i="4" s="1"/>
  <c r="AS24" i="4"/>
  <c r="AR24" i="4"/>
  <c r="AQ24" i="4"/>
  <c r="AP24" i="4"/>
  <c r="AS23" i="4"/>
  <c r="AR23" i="4"/>
  <c r="AQ23" i="4"/>
  <c r="AP23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AS22" i="4" s="1"/>
  <c r="X22" i="4"/>
  <c r="AR22" i="4" s="1"/>
  <c r="W22" i="4"/>
  <c r="AQ22" i="4" s="1"/>
  <c r="V22" i="4"/>
  <c r="AP22" i="4" s="1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AS21" i="4" s="1"/>
  <c r="X21" i="4"/>
  <c r="AR21" i="4" s="1"/>
  <c r="W21" i="4"/>
  <c r="AQ21" i="4" s="1"/>
  <c r="V21" i="4"/>
  <c r="AP21" i="4" s="1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AS20" i="4" s="1"/>
  <c r="X20" i="4"/>
  <c r="AR20" i="4" s="1"/>
  <c r="W20" i="4"/>
  <c r="AQ20" i="4" s="1"/>
  <c r="V20" i="4"/>
  <c r="AP20" i="4" s="1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AS19" i="4" s="1"/>
  <c r="X19" i="4"/>
  <c r="AR19" i="4" s="1"/>
  <c r="W19" i="4"/>
  <c r="AQ19" i="4" s="1"/>
  <c r="V19" i="4"/>
  <c r="AP19" i="4" s="1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AS18" i="4" s="1"/>
  <c r="X18" i="4"/>
  <c r="AR18" i="4" s="1"/>
  <c r="W18" i="4"/>
  <c r="AQ18" i="4" s="1"/>
  <c r="V18" i="4"/>
  <c r="AP18" i="4" s="1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AS17" i="4" s="1"/>
  <c r="X17" i="4"/>
  <c r="AR17" i="4" s="1"/>
  <c r="W17" i="4"/>
  <c r="AQ17" i="4" s="1"/>
  <c r="V17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AS16" i="4" s="1"/>
  <c r="X16" i="4"/>
  <c r="AR16" i="4" s="1"/>
  <c r="W16" i="4"/>
  <c r="AQ16" i="4" s="1"/>
  <c r="V16" i="4"/>
  <c r="AP16" i="4" s="1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AS15" i="4" s="1"/>
  <c r="X15" i="4"/>
  <c r="AR15" i="4" s="1"/>
  <c r="W15" i="4"/>
  <c r="AQ15" i="4" s="1"/>
  <c r="V15" i="4"/>
  <c r="AP15" i="4" s="1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AS14" i="4" s="1"/>
  <c r="X14" i="4"/>
  <c r="AR14" i="4" s="1"/>
  <c r="W14" i="4"/>
  <c r="AQ14" i="4" s="1"/>
  <c r="V14" i="4"/>
  <c r="AP14" i="4" s="1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AS13" i="4" s="1"/>
  <c r="X13" i="4"/>
  <c r="AR13" i="4" s="1"/>
  <c r="W13" i="4"/>
  <c r="AQ13" i="4" s="1"/>
  <c r="V13" i="4"/>
  <c r="AP13" i="4" s="1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AS12" i="4" s="1"/>
  <c r="X12" i="4"/>
  <c r="AR12" i="4" s="1"/>
  <c r="W12" i="4"/>
  <c r="AQ12" i="4" s="1"/>
  <c r="V12" i="4"/>
  <c r="AP12" i="4" s="1"/>
  <c r="AO11" i="4"/>
  <c r="AO91" i="4" s="1"/>
  <c r="AO95" i="4" s="1"/>
  <c r="AN11" i="4"/>
  <c r="AN91" i="4" s="1"/>
  <c r="AN95" i="4" s="1"/>
  <c r="AM11" i="4"/>
  <c r="AM91" i="4" s="1"/>
  <c r="AM95" i="4" s="1"/>
  <c r="AL11" i="4"/>
  <c r="AL91" i="4" s="1"/>
  <c r="AL95" i="4" s="1"/>
  <c r="AK11" i="4"/>
  <c r="AK91" i="4" s="1"/>
  <c r="AK95" i="4" s="1"/>
  <c r="AJ11" i="4"/>
  <c r="AJ91" i="4" s="1"/>
  <c r="AJ95" i="4" s="1"/>
  <c r="AI11" i="4"/>
  <c r="AI91" i="4" s="1"/>
  <c r="AI95" i="4" s="1"/>
  <c r="AH11" i="4"/>
  <c r="AH91" i="4" s="1"/>
  <c r="AH95" i="4" s="1"/>
  <c r="AG11" i="4"/>
  <c r="AG91" i="4" s="1"/>
  <c r="AG95" i="4" s="1"/>
  <c r="AF11" i="4"/>
  <c r="AF91" i="4" s="1"/>
  <c r="AF95" i="4" s="1"/>
  <c r="AE11" i="4"/>
  <c r="AD11" i="4"/>
  <c r="AD91" i="4" s="1"/>
  <c r="AD95" i="4" s="1"/>
  <c r="AC11" i="4"/>
  <c r="AC91" i="4" s="1"/>
  <c r="AC95" i="4" s="1"/>
  <c r="AB11" i="4"/>
  <c r="AB91" i="4" s="1"/>
  <c r="AB95" i="4" s="1"/>
  <c r="AA11" i="4"/>
  <c r="AA91" i="4" s="1"/>
  <c r="AA95" i="4" s="1"/>
  <c r="Z11" i="4"/>
  <c r="Z91" i="4" s="1"/>
  <c r="Z95" i="4" s="1"/>
  <c r="Y11" i="4"/>
  <c r="Y91" i="4" s="1"/>
  <c r="Y95" i="4" s="1"/>
  <c r="X11" i="4"/>
  <c r="X91" i="4" s="1"/>
  <c r="X95" i="4" s="1"/>
  <c r="W11" i="4"/>
  <c r="W91" i="4" s="1"/>
  <c r="W95" i="4" s="1"/>
  <c r="V11" i="4"/>
  <c r="AS10" i="4"/>
  <c r="AR10" i="4"/>
  <c r="AQ10" i="4"/>
  <c r="AP10" i="4"/>
  <c r="AS9" i="4"/>
  <c r="AR9" i="4"/>
  <c r="AQ9" i="4"/>
  <c r="AP9" i="4"/>
  <c r="AS8" i="4"/>
  <c r="AR8" i="4"/>
  <c r="AQ8" i="4"/>
  <c r="AP8" i="4"/>
  <c r="AS7" i="4"/>
  <c r="AR7" i="4"/>
  <c r="AQ7" i="4"/>
  <c r="AP7" i="4"/>
  <c r="AS6" i="4"/>
  <c r="AR6" i="4"/>
  <c r="AQ6" i="4"/>
  <c r="AP6" i="4"/>
  <c r="V91" i="4" l="1"/>
  <c r="V95" i="4" s="1"/>
  <c r="AE91" i="4"/>
  <c r="AE95" i="4" s="1"/>
  <c r="AQ95" i="4" s="1"/>
  <c r="AQ33" i="4"/>
  <c r="P95" i="4"/>
  <c r="P100" i="4"/>
  <c r="M95" i="4"/>
  <c r="AP95" i="4" s="1"/>
  <c r="M100" i="4"/>
  <c r="N95" i="4"/>
  <c r="N100" i="4"/>
  <c r="O95" i="4"/>
  <c r="AR95" i="4" s="1"/>
  <c r="O100" i="4"/>
  <c r="AS52" i="4"/>
  <c r="AS56" i="4"/>
  <c r="AS73" i="4"/>
  <c r="AP17" i="4"/>
  <c r="AP56" i="4"/>
  <c r="AP73" i="4"/>
  <c r="AS95" i="4"/>
  <c r="AS11" i="4"/>
  <c r="AS91" i="4" s="1"/>
  <c r="AS100" i="4" s="1"/>
  <c r="AS102" i="4" s="1"/>
  <c r="AP11" i="4"/>
  <c r="AP91" i="4" s="1"/>
  <c r="AP100" i="4" s="1"/>
  <c r="AP102" i="4" s="1"/>
  <c r="AQ11" i="4"/>
  <c r="AQ91" i="4" s="1"/>
  <c r="AQ100" i="4" s="1"/>
  <c r="AQ102" i="4" s="1"/>
  <c r="AR11" i="4"/>
  <c r="AR91" i="4" s="1"/>
  <c r="AR100" i="4" s="1"/>
  <c r="AR102" i="4" s="1"/>
</calcChain>
</file>

<file path=xl/sharedStrings.xml><?xml version="1.0" encoding="utf-8"?>
<sst xmlns="http://schemas.openxmlformats.org/spreadsheetml/2006/main" count="160" uniqueCount="116">
  <si>
    <t>ACCOUNTS CODE</t>
  </si>
  <si>
    <t>TDA FOR THE MONTH OF  NOV 2021</t>
  </si>
  <si>
    <t>ANNEXURE B II A</t>
  </si>
  <si>
    <t>RECONCILIATION EFFECT OF APRIL 2021</t>
  </si>
  <si>
    <t>RECONCILIATION EFFECT OF JULY 2021</t>
  </si>
  <si>
    <t>HT</t>
  </si>
  <si>
    <t xml:space="preserve">LT </t>
  </si>
  <si>
    <t>GRAND TOTAL</t>
  </si>
  <si>
    <t>RCM</t>
  </si>
  <si>
    <t>CIRCLE NAME</t>
  </si>
  <si>
    <t>PROFIT CENTER CODE</t>
  </si>
  <si>
    <t>CIRCLE CODE</t>
  </si>
  <si>
    <t>Sum of TAXABLE VALUE</t>
  </si>
  <si>
    <t>Sum of IGST</t>
  </si>
  <si>
    <t xml:space="preserve">Sum of SGST </t>
  </si>
  <si>
    <t>Sum of CGST</t>
  </si>
  <si>
    <t>Description</t>
  </si>
  <si>
    <t>CDC</t>
  </si>
  <si>
    <t>Paid CGST &amp; SGST, instead of IGST</t>
  </si>
  <si>
    <t>SE/CDC/SCHEMES</t>
  </si>
  <si>
    <t>CE/NCES</t>
  </si>
  <si>
    <t>CE/IT</t>
  </si>
  <si>
    <t>AO CFC/GL</t>
  </si>
  <si>
    <t xml:space="preserve">CHENGLEPAT </t>
  </si>
  <si>
    <t>CHENNAI/CENTRAL</t>
  </si>
  <si>
    <t>CHENNAI/SOUTH-1</t>
  </si>
  <si>
    <t>CHENNAI/SOUTH-II</t>
  </si>
  <si>
    <t>PAID CGST &amp; SGST INSTEAD OF IGST</t>
  </si>
  <si>
    <t xml:space="preserve">CHENNAI/NORTH </t>
  </si>
  <si>
    <t>CHENNAI/WEST</t>
  </si>
  <si>
    <t>COIMBATORE/METRO</t>
  </si>
  <si>
    <t>CREDIT NOTE WRONGLY TAKEN AS INVOICE IN 3B PAYMENT</t>
  </si>
  <si>
    <t>COIMBATORE/NORTH</t>
  </si>
  <si>
    <t>COIMBATORE/SOUTH</t>
  </si>
  <si>
    <t>EXCESS PAID</t>
  </si>
  <si>
    <t>CUDDALORE</t>
  </si>
  <si>
    <t>DHARMAPURI</t>
  </si>
  <si>
    <t xml:space="preserve">DINDIGUL </t>
  </si>
  <si>
    <t>EE CIVIL BUILDING</t>
  </si>
  <si>
    <t>ENNORE SEZ</t>
  </si>
  <si>
    <t>ERODE</t>
  </si>
  <si>
    <t xml:space="preserve">GEN/ERODE </t>
  </si>
  <si>
    <t xml:space="preserve">GEN/KADAMPARAI </t>
  </si>
  <si>
    <t>GEN/KUNDAH</t>
  </si>
  <si>
    <t xml:space="preserve">GEN/TIRUNELVELI </t>
  </si>
  <si>
    <t>GOBI</t>
  </si>
  <si>
    <t>KALLAKURICHI</t>
  </si>
  <si>
    <t>KANCHEEPURAM</t>
  </si>
  <si>
    <t>KANYAKUMARI</t>
  </si>
  <si>
    <t>SHORT PAID IN 3B</t>
  </si>
  <si>
    <t>KARUR</t>
  </si>
  <si>
    <t xml:space="preserve">GTPP/KUTTALAM MARUTHUR </t>
  </si>
  <si>
    <t xml:space="preserve">KRISHNAGIRI </t>
  </si>
  <si>
    <t>MADURAI</t>
  </si>
  <si>
    <t>Madurai Metro</t>
  </si>
  <si>
    <t xml:space="preserve">METTUR </t>
  </si>
  <si>
    <t>Mettur Workshop</t>
  </si>
  <si>
    <t>MM1</t>
  </si>
  <si>
    <t>MM2</t>
  </si>
  <si>
    <t>CREDIT NOTE RAISED WHILE FILING  GSTR-1</t>
  </si>
  <si>
    <t>MTPS I</t>
  </si>
  <si>
    <t>MTPS II</t>
  </si>
  <si>
    <t>NAGAI</t>
  </si>
  <si>
    <t xml:space="preserve">NAMAKKAL </t>
  </si>
  <si>
    <t xml:space="preserve">NCTPS I </t>
  </si>
  <si>
    <t>NCTPS II</t>
  </si>
  <si>
    <t xml:space="preserve">NCTPS III </t>
  </si>
  <si>
    <t>NILGIRIS</t>
  </si>
  <si>
    <t>PALLADAM</t>
  </si>
  <si>
    <t xml:space="preserve">PERAMBALUR </t>
  </si>
  <si>
    <t>POLE CASTING</t>
  </si>
  <si>
    <t>PUDUKOTTAI</t>
  </si>
  <si>
    <t>EXCESS PAID IN 3B</t>
  </si>
  <si>
    <t>R&amp;D</t>
  </si>
  <si>
    <t>RAMNAD</t>
  </si>
  <si>
    <t>RESOURCES</t>
  </si>
  <si>
    <t>SALEM</t>
  </si>
  <si>
    <t>SE/CIVIL/KPSHEP/EMERALD</t>
  </si>
  <si>
    <t xml:space="preserve">SE-PLANNING </t>
  </si>
  <si>
    <t>SIVAGANGA</t>
  </si>
  <si>
    <t>THANJAVUR</t>
  </si>
  <si>
    <t xml:space="preserve">THENI </t>
  </si>
  <si>
    <t>THIRUPATHUR</t>
  </si>
  <si>
    <t>THIRUVANNAMALAI</t>
  </si>
  <si>
    <t>THIRUVARUR</t>
  </si>
  <si>
    <t>TIRUNELVELI</t>
  </si>
  <si>
    <t>Tiruppur</t>
  </si>
  <si>
    <t>TRICHY/METRO</t>
  </si>
  <si>
    <t>SHORT PAID</t>
  </si>
  <si>
    <t>TTPS</t>
  </si>
  <si>
    <t>TUTICORIN</t>
  </si>
  <si>
    <t>UDANGUDI PROJECTS</t>
  </si>
  <si>
    <t>UDUMALPET</t>
  </si>
  <si>
    <t xml:space="preserve">UPPUR TPP RAMNAD </t>
  </si>
  <si>
    <t xml:space="preserve">VELLORE </t>
  </si>
  <si>
    <t>SHOWED EXCESS TAXABLE VALUE IN 3B</t>
  </si>
  <si>
    <t>VGTPS</t>
  </si>
  <si>
    <t>VILLUPURAM</t>
  </si>
  <si>
    <t>VIRUDUNAGAR</t>
  </si>
  <si>
    <t xml:space="preserve">WE/T'VELI </t>
  </si>
  <si>
    <t>INTER TAX ADJUSTMENT</t>
  </si>
  <si>
    <t>WE/UDUMALPET</t>
  </si>
  <si>
    <t>LT reversal</t>
  </si>
  <si>
    <t>MM2 IGST EXCESS PAID NOW ADJUSTED FROM IGST LIABILITY</t>
  </si>
  <si>
    <t>LT INTER TAX ADJUSTMENTS</t>
  </si>
  <si>
    <t>TOTAL</t>
  </si>
  <si>
    <t>GSTR3B</t>
  </si>
  <si>
    <t>DIFFERENCE</t>
  </si>
  <si>
    <t>outward as per 3b</t>
  </si>
  <si>
    <t>RCM as per 3b</t>
  </si>
  <si>
    <t>total 3b</t>
  </si>
  <si>
    <t>diff</t>
  </si>
  <si>
    <t>RECON EFFECT OF APRIL 2021 IN HT</t>
  </si>
  <si>
    <t>RECON EFFECT OF JULY 2021 IN HT</t>
  </si>
  <si>
    <t>ANNEXURE A (OUTWARD SUPPLY) CIRCLE DATA</t>
  </si>
  <si>
    <t>HT OCT 2021 HT ENTRIES FILED IN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</si>
</sst>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&quot; &quot;;&quot; -&quot;#,##0.00&quot; &quot;;&quot; -&quot;#&quot; &quot;;@&quot;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164" fontId="9" fillId="0" borderId="0"/>
    <xf numFmtId="0" fontId="10" fillId="0" borderId="0"/>
    <xf numFmtId="0" fontId="10" fillId="0" borderId="0"/>
  </cellStyleXfs>
  <cellXfs count="79">
    <xf numFmtId="0" fontId="0" fillId="0" borderId="0" xfId="0"/>
    <xf numFmtId="0" fontId="5" fillId="2" borderId="1" xfId="0" applyFont="1" applyFill="1" applyBorder="1"/>
    <xf numFmtId="0" fontId="5" fillId="0" borderId="1" xfId="0" applyFont="1" applyBorder="1"/>
    <xf numFmtId="0" fontId="4" fillId="0" borderId="1" xfId="1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17" fontId="6" fillId="0" borderId="2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4" borderId="1" xfId="0" applyFill="1" applyBorder="1"/>
    <xf numFmtId="0" fontId="0" fillId="4" borderId="13" xfId="0" applyFill="1" applyBorder="1"/>
    <xf numFmtId="0" fontId="0" fillId="5" borderId="1" xfId="0" applyFill="1" applyBorder="1"/>
    <xf numFmtId="0" fontId="0" fillId="3" borderId="14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13" xfId="0" applyFill="1" applyBorder="1"/>
    <xf numFmtId="1" fontId="0" fillId="0" borderId="14" xfId="0" applyNumberFormat="1" applyBorder="1"/>
    <xf numFmtId="0" fontId="0" fillId="6" borderId="14" xfId="0" applyFill="1" applyBorder="1"/>
    <xf numFmtId="0" fontId="0" fillId="6" borderId="1" xfId="0" applyFill="1" applyBorder="1"/>
    <xf numFmtId="0" fontId="0" fillId="6" borderId="13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7" borderId="17" xfId="0" applyFill="1" applyBorder="1" applyAlignment="1">
      <alignment horizontal="left"/>
    </xf>
    <xf numFmtId="3" fontId="0" fillId="0" borderId="1" xfId="0" applyNumberFormat="1" applyBorder="1"/>
    <xf numFmtId="0" fontId="0" fillId="8" borderId="9" xfId="0" applyFill="1" applyBorder="1"/>
    <xf numFmtId="0" fontId="0" fillId="8" borderId="11" xfId="0" applyFill="1" applyBorder="1"/>
    <xf numFmtId="0" fontId="0" fillId="8" borderId="10" xfId="0" applyFill="1" applyBorder="1"/>
    <xf numFmtId="0" fontId="2" fillId="8" borderId="1" xfId="0" applyFont="1" applyFill="1" applyBorder="1"/>
    <xf numFmtId="1" fontId="2" fillId="8" borderId="1" xfId="0" applyNumberFormat="1" applyFont="1" applyFill="1" applyBorder="1"/>
    <xf numFmtId="0" fontId="2" fillId="0" borderId="1" xfId="0" applyFont="1" applyBorder="1"/>
    <xf numFmtId="0" fontId="0" fillId="8" borderId="5" xfId="0" applyFill="1" applyBorder="1"/>
    <xf numFmtId="0" fontId="0" fillId="8" borderId="0" xfId="0" applyFill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1" fontId="0" fillId="8" borderId="11" xfId="0" applyNumberFormat="1" applyFill="1" applyBorder="1"/>
    <xf numFmtId="2" fontId="0" fillId="8" borderId="11" xfId="0" applyNumberFormat="1" applyFill="1" applyBorder="1"/>
    <xf numFmtId="2" fontId="0" fillId="8" borderId="5" xfId="0" applyNumberFormat="1" applyFill="1" applyBorder="1"/>
    <xf numFmtId="0" fontId="0" fillId="3" borderId="1" xfId="0" applyFill="1" applyBorder="1"/>
    <xf numFmtId="1" fontId="0" fillId="0" borderId="0" xfId="0" applyNumberFormat="1"/>
    <xf numFmtId="1" fontId="0" fillId="3" borderId="1" xfId="0" applyNumberFormat="1" applyFill="1" applyBorder="1"/>
    <xf numFmtId="0" fontId="0" fillId="2" borderId="16" xfId="0" applyFill="1" applyBorder="1"/>
    <xf numFmtId="0" fontId="0" fillId="2" borderId="15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2" borderId="15" xfId="0" applyFill="1" applyBorder="1"/>
    <xf numFmtId="0" fontId="0" fillId="8" borderId="8" xfId="0" applyFill="1" applyBorder="1"/>
    <xf numFmtId="0" fontId="0" fillId="8" borderId="16" xfId="0" applyFill="1" applyBorder="1"/>
    <xf numFmtId="0" fontId="0" fillId="3" borderId="18" xfId="0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17" fontId="6" fillId="3" borderId="2" xfId="0" applyNumberFormat="1" applyFont="1" applyFill="1" applyBorder="1" applyAlignment="1">
      <alignment horizontal="center" wrapText="1"/>
    </xf>
    <xf numFmtId="17" fontId="6" fillId="3" borderId="3" xfId="0" applyNumberFormat="1" applyFont="1" applyFill="1" applyBorder="1" applyAlignment="1">
      <alignment horizontal="center" wrapText="1"/>
    </xf>
    <xf numFmtId="17" fontId="6" fillId="3" borderId="4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7" fontId="6" fillId="0" borderId="2" xfId="0" applyNumberFormat="1" applyFont="1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17" fontId="6" fillId="0" borderId="9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7" fontId="6" fillId="0" borderId="11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17" fontId="7" fillId="0" borderId="11" xfId="0" applyNumberFormat="1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 wrapText="1"/>
    </xf>
  </cellXfs>
  <cellStyles count="8">
    <cellStyle name="Comma 2" xfId="4" xr:uid="{00000000-0005-0000-0000-000001000000}"/>
    <cellStyle name="Excel Built-in Comma" xfId="5" xr:uid="{00000000-0005-0000-0000-000002000000}"/>
    <cellStyle name="Excel Built-in Normal" xfId="6" xr:uid="{00000000-0005-0000-0000-000003000000}"/>
    <cellStyle name="Excel Built-in Normal 1" xfId="7" xr:uid="{00000000-0005-0000-0000-000004000000}"/>
    <cellStyle name="Normal" xfId="0" builtinId="0"/>
    <cellStyle name="Normal 2" xfId="1" xr:uid="{00000000-0005-0000-0000-000006000000}"/>
    <cellStyle name="Normal 2 2" xfId="2" xr:uid="{00000000-0005-0000-0000-000007000000}"/>
    <cellStyle name="Normal 6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41\d\A%20Gst\July%202020\cas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TS\Downloads\GST-Jan-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GST%20Returns%20to%20Hqrs%202020-21%20Tangedco\GST-TANGEDCO-09-2020\GST%20RETURN%20MACRO%20SHEET%20UPDATE%20-%20September-2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11\AppData\Local\Temp\GST%20RETURN%20MACRO%20SHEET%20UPDATE%2012.02.2019%20SALES%20FINAL%20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S.I\GST\GST%20RETURNS\GST%2011%202019\hq\GST%20RETURN%20%20MACRO%20SHEET%2011%2020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JANUARY%202020/jan%202020/JAN%202020/SANGEETHA/VELLORE%20REGION/KANCHEEPURAM/MACRO%20SHEETFINAL%20JANA%202020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S.I\GST\GST%20RETURNS\GST%20012020\HQ%20012020\MACRO%20SHEET%20JANUARY'%202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2021-22\GST%20Returns%20to%20Hqrs%202021-22%20TANGEDCO\GST-TANGEDCO-11-2021\ANNEXURE%20A%201.1%20%20November-202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vedio%20LD\GOBI%20EDC%20GST%20on%20LD%20-%20Annexure%20A%20&amp;%20B%20%2016.0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cember%20'18\GSTR%203B%20Folders\REGIONS\TRICHY%20REGION\NAGAPATTINAM\GST%20DEC%202018%20NEW%2010.01.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EB\Downloads\GST%20RETURN%20MACRO%20SHEET%20UPDATE%2012.02.2019%20SALES%20FINAL%20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BS\Desktop\october%202019\GSTR%203B%20FOLDERS%20-october\REGIONS\ERODE%20REGION\GOBI\GOBI%20GST%20RETURN%20MACRO%20SHEET%20UPDATE%2010.2019%20SAL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%20TARUN\Downloads\Thirupattu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%202021-22%20TANGEDCO\GST-TANGEDCO-04-2021\ANNEXURE%20A%201.1%20-April-202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NOVEMBER%202020/GSTR3B%20FOLDERS%20SS/COIMBATORE%20REGION/COIMBATORE%20METRO/ANNEXURE%20A%201.1%20%20%20%20112020%20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12768.44242\January%202019\REGIONS\COIMBATORE%20REGION\COIMBATORE%20SOUTH\Revised\GST%20RETURN%20MACRO%20SHEET%20UPDATE.01.2018%20SALES%20FINAL%20NE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Annex.%20A%20MACRO%20SHEET%20FORMAT(1)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swathi\may21\MTPS%20II\MAY-%202021%20bottom%20ash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\Desktop\AOMM2GST%20TDS%20from%2003-20\Combined\JANUARY%202021\oct%202020%20ALL%20DETAILS%20NEW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O-TAXATION\Desktop\GST%20RETURNS\TDA\AS\TDA%20NOV%202021%20FINAL%20new%2030.07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PTEMBER%202020\GSTR%203B%20FOLDERS%20SS\CDC\GST%20RETURN%20MACRO%20SHEET%20UPDATE%2012.02.2019%20SALES%20FINAL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GEETHA%20BACKUP\sangeetha\RETURNS\2021\AUGUST%202021\GSTR%203B%20FOLDERS%20SS\GENERATION\GENERATION%20ERODE\1.1%20GST%20RETURN%20MACRO%20SHEET%20FOR%20SALES%20FINAL%2008-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19/July%202019/RECONCILIATION/July%202019%20conso.%20SANGEETHA%20final%20filing%20copy%20with%20reconcili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GSTR%203B%20Folders\REGIONS\TRICHY%20REGION\PUDUKOTTAI\GST%20DEC%202018%20NEW%2011.01.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October%20Nov%20Dec\GST%20NOVEMBER%202018\THERMAL%20STATION\TTPS\GST%20-%20Annexure%20-%20A%201.1&amp;%201.3%20-%2011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2021-22\GST%20Returns%20to%20Hqrs%202021-22%20TANGEDCO\GST-TANGEDCO-10-2021\ANNEXURE%20A%201.1%20%20October-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mar\Desktop\gst%20oct%20nOV%20dEC\October%20Final%20Filing\TNEB%20Sales%20final%20new%20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DCO"/>
      <sheetName val="dropdown"/>
      <sheetName val="Sheet1"/>
    </sheetNames>
    <sheetDataSet>
      <sheetData sheetId="0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1.1"/>
      <sheetName val="dropdown"/>
      <sheetName val="A.1.3"/>
    </sheetNames>
    <sheetDataSet>
      <sheetData sheetId="0"/>
      <sheetData sheetId="1">
        <row r="1">
          <cell r="D1" t="str">
            <v>GOODS AND SERVICES</v>
          </cell>
        </row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FEB-2020"/>
      <sheetName val="Mar-2020"/>
      <sheetName val="Sheet1"/>
      <sheetName val="GST LD from June to September"/>
      <sheetName val="Sheet2"/>
      <sheetName val="Sheet3"/>
      <sheetName val="GST COLLECTED"/>
      <sheetName val="Sales (2)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2"/>
      <sheetData sheetId="3">
        <row r="2">
          <cell r="H2" t="str">
            <v xml:space="preserve">CHENNAI/SOUTH-1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Sheet1"/>
    </sheetNames>
    <sheetDataSet>
      <sheetData sheetId="0"/>
      <sheetData sheetId="1">
        <row r="2">
          <cell r="I2" t="str">
            <v>FLY ASH SALES</v>
          </cell>
          <cell r="J2" t="str">
            <v>CGST + SGST - 5%</v>
          </cell>
        </row>
        <row r="3">
          <cell r="I3" t="str">
            <v>COAL MILL REJECT</v>
          </cell>
          <cell r="J3" t="str">
            <v>CGST + SGST - 12%</v>
          </cell>
        </row>
        <row r="4">
          <cell r="I4" t="str">
            <v>INPLANT TRAINING</v>
          </cell>
          <cell r="J4" t="str">
            <v>CGST + SGST - 18%</v>
          </cell>
        </row>
        <row r="5">
          <cell r="I5" t="str">
            <v>TENDER SALES</v>
          </cell>
          <cell r="J5" t="str">
            <v>CGST + SGST - 28%</v>
          </cell>
        </row>
        <row r="6">
          <cell r="I6" t="str">
            <v>TESTING FEES</v>
          </cell>
          <cell r="J6" t="str">
            <v>IGST - 5%</v>
          </cell>
        </row>
        <row r="7">
          <cell r="I7" t="str">
            <v>NCES INCOME</v>
          </cell>
          <cell r="J7" t="str">
            <v>IGST - 12%</v>
          </cell>
        </row>
        <row r="8">
          <cell r="I8" t="str">
            <v>RENTAL INCOME</v>
          </cell>
          <cell r="J8" t="str">
            <v>IGST - 18%</v>
          </cell>
        </row>
        <row r="9">
          <cell r="I9" t="str">
            <v>REGISTRATION FEES</v>
          </cell>
          <cell r="J9" t="str">
            <v>IGST - 28%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2)"/>
      <sheetName val="Sales"/>
      <sheetName val="dropdown"/>
    </sheetNames>
    <sheetDataSet>
      <sheetData sheetId="0"/>
      <sheetData sheetId="1"/>
      <sheetData sheetId="2">
        <row r="2">
          <cell r="H2" t="str">
            <v xml:space="preserve">CHENNAI/SOUTH-1 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A"/>
      <sheetName val="Annexure B"/>
      <sheetName val="Sheet1"/>
      <sheetName val="Sheet3"/>
      <sheetName val="Sheet2"/>
    </sheetNames>
    <sheetDataSet>
      <sheetData sheetId="0"/>
      <sheetData sheetId="1"/>
      <sheetData sheetId="2"/>
      <sheetData sheetId="3">
        <row r="3">
          <cell r="C3">
            <v>42917</v>
          </cell>
        </row>
        <row r="4">
          <cell r="C4">
            <v>42948</v>
          </cell>
        </row>
        <row r="5">
          <cell r="C5">
            <v>42979</v>
          </cell>
        </row>
        <row r="6">
          <cell r="C6">
            <v>43009</v>
          </cell>
        </row>
        <row r="7">
          <cell r="C7">
            <v>43040</v>
          </cell>
        </row>
        <row r="8">
          <cell r="C8">
            <v>43070</v>
          </cell>
        </row>
        <row r="9">
          <cell r="C9">
            <v>43101</v>
          </cell>
        </row>
        <row r="10">
          <cell r="C10">
            <v>43132</v>
          </cell>
        </row>
        <row r="11">
          <cell r="C11">
            <v>43160</v>
          </cell>
        </row>
        <row r="12">
          <cell r="C12">
            <v>43191</v>
          </cell>
        </row>
        <row r="13">
          <cell r="C13">
            <v>43221</v>
          </cell>
        </row>
        <row r="14">
          <cell r="C14">
            <v>43252</v>
          </cell>
        </row>
        <row r="15">
          <cell r="C15">
            <v>43282</v>
          </cell>
        </row>
        <row r="16">
          <cell r="C16">
            <v>43313</v>
          </cell>
        </row>
        <row r="17">
          <cell r="C17">
            <v>43344</v>
          </cell>
        </row>
        <row r="18">
          <cell r="C18">
            <v>43374</v>
          </cell>
        </row>
        <row r="19">
          <cell r="C19">
            <v>43405</v>
          </cell>
        </row>
        <row r="20">
          <cell r="C20">
            <v>43435</v>
          </cell>
          <cell r="D20">
            <v>43435</v>
          </cell>
        </row>
        <row r="21">
          <cell r="C21">
            <v>43466</v>
          </cell>
          <cell r="D21">
            <v>43466</v>
          </cell>
        </row>
        <row r="22">
          <cell r="C22">
            <v>43497</v>
          </cell>
          <cell r="D22">
            <v>43497</v>
          </cell>
        </row>
        <row r="23">
          <cell r="C23">
            <v>43525</v>
          </cell>
          <cell r="D23">
            <v>43525</v>
          </cell>
        </row>
        <row r="24">
          <cell r="C24">
            <v>43556</v>
          </cell>
          <cell r="D24">
            <v>43556</v>
          </cell>
        </row>
        <row r="25">
          <cell r="C25">
            <v>43586</v>
          </cell>
          <cell r="D25">
            <v>43586</v>
          </cell>
        </row>
        <row r="26">
          <cell r="C26">
            <v>43617</v>
          </cell>
          <cell r="D26">
            <v>43617</v>
          </cell>
        </row>
        <row r="27">
          <cell r="C27">
            <v>43647</v>
          </cell>
          <cell r="D27">
            <v>43647</v>
          </cell>
        </row>
        <row r="28">
          <cell r="C28">
            <v>43678</v>
          </cell>
          <cell r="D28">
            <v>43678</v>
          </cell>
        </row>
        <row r="29">
          <cell r="C29">
            <v>43709</v>
          </cell>
          <cell r="D29">
            <v>43709</v>
          </cell>
        </row>
        <row r="30">
          <cell r="C30">
            <v>43739</v>
          </cell>
          <cell r="D30">
            <v>43739</v>
          </cell>
        </row>
        <row r="31">
          <cell r="C31">
            <v>43770</v>
          </cell>
          <cell r="D31">
            <v>43770</v>
          </cell>
        </row>
        <row r="32">
          <cell r="C32">
            <v>43800</v>
          </cell>
          <cell r="D32">
            <v>43800</v>
          </cell>
        </row>
        <row r="33">
          <cell r="C33">
            <v>43831</v>
          </cell>
          <cell r="D33">
            <v>43831</v>
          </cell>
        </row>
        <row r="34">
          <cell r="C34">
            <v>43862</v>
          </cell>
          <cell r="D34">
            <v>43862</v>
          </cell>
        </row>
        <row r="35">
          <cell r="C35">
            <v>43891</v>
          </cell>
          <cell r="D35">
            <v>43891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.1 AND 1.3"/>
      <sheetName val="dropdown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AdarshGSTPosition"/>
      <sheetName val="working February 2019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A1"/>
      <sheetName val="Sales  A3"/>
      <sheetName val="dropdown"/>
    </sheetNames>
    <sheetDataSet>
      <sheetData sheetId="0"/>
      <sheetData sheetId="1"/>
      <sheetData sheetId="2"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Annexure-1.3"/>
      <sheetName val="Sheet1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UDANGUDI</v>
          </cell>
        </row>
        <row r="117">
          <cell r="H117" t="str">
            <v>MM 3</v>
          </cell>
        </row>
        <row r="118">
          <cell r="H118" t="str">
            <v>CDC SCHEMES</v>
          </cell>
        </row>
        <row r="119">
          <cell r="H119" t="str">
            <v>GM-HRD</v>
          </cell>
        </row>
        <row r="120">
          <cell r="H120" t="str">
            <v>HRD-Kit Value</v>
          </cell>
        </row>
        <row r="121">
          <cell r="H121" t="str">
            <v>NCTPP</v>
          </cell>
        </row>
        <row r="122">
          <cell r="H122" t="str">
            <v>Thermal Training Institute NCTPS1</v>
          </cell>
        </row>
        <row r="123">
          <cell r="H123" t="str">
            <v>Pole Casting</v>
          </cell>
        </row>
        <row r="124">
          <cell r="H124" t="str">
            <v>SE/Civil/Hydro Project -Uratchikotai</v>
          </cell>
        </row>
        <row r="125">
          <cell r="H125" t="str">
            <v xml:space="preserve">CE COMMERCIAL(PPP) </v>
          </cell>
        </row>
        <row r="126">
          <cell r="H126" t="str">
            <v>CE COMMERCIAL</v>
          </cell>
        </row>
        <row r="127">
          <cell r="H127" t="str">
            <v xml:space="preserve">SE-PLANNING 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"/>
      <sheetName val="A-1.3"/>
      <sheetName val="dropdown"/>
      <sheetName val="Sheet1"/>
      <sheetName val="Sheet2"/>
    </sheetNames>
    <sheetDataSet>
      <sheetData sheetId="0"/>
      <sheetData sheetId="1"/>
      <sheetData sheetId="2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Annexure A - 1.2"/>
      <sheetName val="Annexure A - 1.6"/>
      <sheetName val="Annexure - 1.7"/>
    </sheetNames>
    <sheetDataSet>
      <sheetData sheetId="0" refreshError="1"/>
      <sheetData sheetId="1">
        <row r="2">
          <cell r="I2" t="str">
            <v>FLY ASH SALES1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  <row r="22">
          <cell r="I22" t="str">
            <v>LIQUIDATED DAMAGES 20\21</v>
          </cell>
        </row>
        <row r="23">
          <cell r="I23" t="str">
            <v>LIQUIDATED DAMAGES 19\20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oct 2020"/>
      <sheetName val="TDSABSTRACT"/>
      <sheetName val="GSTABSTRACT"/>
      <sheetName val="LD GST"/>
      <sheetName val="GST on LD invoice details"/>
      <sheetName val="Generate Invoice "/>
      <sheetName val="Circlewise TDS"/>
    </sheetNames>
    <sheetDataSet>
      <sheetData sheetId="0">
        <row r="2">
          <cell r="A2" t="str">
            <v>AMPTECH HI-VOLTAGE EQUIPMENT</v>
          </cell>
        </row>
        <row r="3">
          <cell r="A3" t="str">
            <v>AMPTECH POWER TRANSFORMERS</v>
          </cell>
        </row>
        <row r="4">
          <cell r="A4" t="str">
            <v>APOORV ELECTRICALS INDIA PVT LTD</v>
          </cell>
        </row>
        <row r="5">
          <cell r="A5" t="str">
            <v>AVON METERS PVT LTD</v>
          </cell>
        </row>
        <row r="6">
          <cell r="A6" t="str">
            <v>CAPITAL POWER SYSTEMS LTD</v>
          </cell>
        </row>
        <row r="7">
          <cell r="A7" t="str">
            <v xml:space="preserve">EMMESS CONTROL PVT LTD </v>
          </cell>
        </row>
        <row r="8">
          <cell r="A8" t="str">
            <v xml:space="preserve">EMMESS ELECTRICALS </v>
          </cell>
        </row>
        <row r="9">
          <cell r="A9" t="str">
            <v>ENERGY TEC</v>
          </cell>
        </row>
        <row r="10">
          <cell r="A10" t="str">
            <v>FORCE MOTORS LIMITED</v>
          </cell>
        </row>
        <row r="11">
          <cell r="A11" t="str">
            <v>GENUS POWER INFRASTRUCTURES LTD</v>
          </cell>
        </row>
        <row r="12">
          <cell r="A12" t="str">
            <v>HIMACHAL ENERGY PRIVATE LIMITED</v>
          </cell>
        </row>
        <row r="13">
          <cell r="A13" t="str">
            <v>HPL ELECTRIC&amp;POWER LTD</v>
          </cell>
        </row>
        <row r="14">
          <cell r="A14" t="str">
            <v>IPL PRODUCTS</v>
          </cell>
        </row>
        <row r="15">
          <cell r="A15" t="str">
            <v>LARSON AND TURBO</v>
          </cell>
        </row>
        <row r="16">
          <cell r="A16" t="str">
            <v>MADHAV ENGINEERIS PVT LTD</v>
          </cell>
        </row>
        <row r="17">
          <cell r="A17" t="str">
            <v xml:space="preserve">MAHINDRA&amp;MAHINDRA LIMITED </v>
          </cell>
        </row>
        <row r="18">
          <cell r="A18" t="str">
            <v>NAGA ELECTRICAL INDUSTRIES</v>
          </cell>
        </row>
        <row r="19">
          <cell r="A19" t="str">
            <v>ORANGE POWER</v>
          </cell>
        </row>
        <row r="20">
          <cell r="A20" t="str">
            <v>P G R TRANSFORMERS</v>
          </cell>
        </row>
        <row r="21">
          <cell r="A21" t="str">
            <v>PATEL BROTHERS</v>
          </cell>
        </row>
        <row r="22">
          <cell r="A22" t="str">
            <v>SAI BABA ENGG</v>
          </cell>
        </row>
        <row r="23">
          <cell r="A23" t="str">
            <v>SATHISH ENGG WORKS</v>
          </cell>
        </row>
        <row r="24">
          <cell r="A24" t="str">
            <v>SATHIYA ENGG</v>
          </cell>
        </row>
        <row r="25">
          <cell r="A25" t="str">
            <v>SECURE METERS LTD</v>
          </cell>
        </row>
        <row r="26">
          <cell r="A26" t="str">
            <v>SECURE SEALS PVT INDIA LTD</v>
          </cell>
        </row>
        <row r="27">
          <cell r="A27" t="str">
            <v>SENTHIL ELECTRONICS</v>
          </cell>
        </row>
        <row r="28">
          <cell r="A28" t="str">
            <v>SRI SARAVANAELECTRO FIRM</v>
          </cell>
        </row>
        <row r="29">
          <cell r="A29" t="str">
            <v>SRI SIVA DURGA ENGINEERING</v>
          </cell>
        </row>
        <row r="30">
          <cell r="A30" t="str">
            <v>TOP LINE SWITCHGEAR PVT LTD</v>
          </cell>
        </row>
        <row r="31">
          <cell r="A31" t="str">
            <v>TOYOTA KIRLOSKER MOTOR PVT LTD</v>
          </cell>
        </row>
        <row r="32">
          <cell r="A32" t="str">
            <v xml:space="preserve">VIDYUTH CONTROL SYESTEMS PVT LTD </v>
          </cell>
        </row>
        <row r="33">
          <cell r="A33" t="str">
            <v>PARIMALA FABRICATORS &amp;ENGG WORKS</v>
          </cell>
        </row>
        <row r="34">
          <cell r="A34" t="str">
            <v>SRI RENGAN ELECT MECH  INDUSTRY</v>
          </cell>
        </row>
        <row r="35">
          <cell r="A35">
            <v>0</v>
          </cell>
        </row>
        <row r="36">
          <cell r="A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A "/>
      <sheetName val="TDA HT &amp; LT"/>
      <sheetName val="ANNEXURE A"/>
      <sheetName val="ANNEXURE  B"/>
      <sheetName val="APRIL 2021 RECON EFFECT"/>
      <sheetName val="JULY 2021 RECON EFFECT"/>
      <sheetName val="Sheet3"/>
    </sheetNames>
    <sheetDataSet>
      <sheetData sheetId="0"/>
      <sheetData sheetId="1">
        <row r="7">
          <cell r="B7">
            <v>400</v>
          </cell>
          <cell r="C7">
            <v>9767694.4000000041</v>
          </cell>
          <cell r="D7">
            <v>101818.08</v>
          </cell>
          <cell r="E7">
            <v>828183.53999999957</v>
          </cell>
          <cell r="F7">
            <v>828183.53999999957</v>
          </cell>
          <cell r="K7">
            <v>4214488.78</v>
          </cell>
          <cell r="L7">
            <v>0</v>
          </cell>
          <cell r="M7">
            <v>379303.98</v>
          </cell>
          <cell r="N7">
            <v>379303.98</v>
          </cell>
          <cell r="O7">
            <v>6051180.0000000047</v>
          </cell>
          <cell r="P7">
            <v>-0.10220000000845175</v>
          </cell>
          <cell r="Q7">
            <v>544606.19999999984</v>
          </cell>
          <cell r="R7">
            <v>544606.19999999984</v>
          </cell>
          <cell r="S7">
            <v>-2600</v>
          </cell>
          <cell r="T7">
            <v>0</v>
          </cell>
          <cell r="U7">
            <v>0</v>
          </cell>
          <cell r="V7">
            <v>0</v>
          </cell>
        </row>
        <row r="8">
          <cell r="B8">
            <v>401</v>
          </cell>
          <cell r="C8">
            <v>33017424.699999996</v>
          </cell>
          <cell r="D8">
            <v>936</v>
          </cell>
          <cell r="E8">
            <v>2608425.88</v>
          </cell>
          <cell r="F8">
            <v>2608425.88</v>
          </cell>
          <cell r="K8">
            <v>5391195.3899999997</v>
          </cell>
          <cell r="L8">
            <v>0</v>
          </cell>
          <cell r="M8">
            <v>485207.57</v>
          </cell>
          <cell r="N8">
            <v>485207.57</v>
          </cell>
          <cell r="O8">
            <v>1080399.9999999888</v>
          </cell>
          <cell r="P8">
            <v>22726.082800000091</v>
          </cell>
          <cell r="Q8">
            <v>85872.640000000829</v>
          </cell>
          <cell r="R8">
            <v>85872.640000000829</v>
          </cell>
          <cell r="S8">
            <v>9445.9999999925494</v>
          </cell>
          <cell r="T8">
            <v>-936</v>
          </cell>
          <cell r="U8">
            <v>233.92000000039116</v>
          </cell>
          <cell r="V8">
            <v>233.92000000039116</v>
          </cell>
        </row>
        <row r="9">
          <cell r="B9">
            <v>402</v>
          </cell>
          <cell r="C9">
            <v>14885813.48</v>
          </cell>
          <cell r="D9">
            <v>0</v>
          </cell>
          <cell r="E9">
            <v>1339724.6100000006</v>
          </cell>
          <cell r="F9">
            <v>1339724.6100000006</v>
          </cell>
          <cell r="K9">
            <v>3199692.44</v>
          </cell>
          <cell r="L9">
            <v>0</v>
          </cell>
          <cell r="M9">
            <v>287972.31</v>
          </cell>
          <cell r="N9">
            <v>287972.31</v>
          </cell>
        </row>
        <row r="10">
          <cell r="B10">
            <v>404</v>
          </cell>
          <cell r="C10">
            <v>37771331.430000007</v>
          </cell>
          <cell r="D10">
            <v>0</v>
          </cell>
          <cell r="E10">
            <v>3246303.5000000009</v>
          </cell>
          <cell r="F10">
            <v>3246303.5000000009</v>
          </cell>
          <cell r="K10">
            <v>3851356.73</v>
          </cell>
          <cell r="L10">
            <v>0</v>
          </cell>
          <cell r="M10">
            <v>346622.10000000003</v>
          </cell>
          <cell r="N10">
            <v>346622.10000000003</v>
          </cell>
        </row>
        <row r="11">
          <cell r="B11">
            <v>406</v>
          </cell>
          <cell r="C11">
            <v>22108634.32</v>
          </cell>
          <cell r="D11">
            <v>0</v>
          </cell>
          <cell r="E11">
            <v>1989778.0000000002</v>
          </cell>
          <cell r="F11">
            <v>1989778.0000000002</v>
          </cell>
          <cell r="G11">
            <v>2600</v>
          </cell>
          <cell r="H11">
            <v>468</v>
          </cell>
          <cell r="K11">
            <v>4464317.0199999996</v>
          </cell>
          <cell r="L11">
            <v>0</v>
          </cell>
          <cell r="M11">
            <v>401788.52</v>
          </cell>
          <cell r="N11">
            <v>401788.52</v>
          </cell>
          <cell r="O11">
            <v>0</v>
          </cell>
          <cell r="P11">
            <v>468</v>
          </cell>
          <cell r="Q11">
            <v>-234.00000000046566</v>
          </cell>
          <cell r="R11">
            <v>-234.00000000046566</v>
          </cell>
          <cell r="S11">
            <v>0</v>
          </cell>
          <cell r="T11">
            <v>-468</v>
          </cell>
          <cell r="U11">
            <v>234</v>
          </cell>
          <cell r="V11">
            <v>234</v>
          </cell>
        </row>
        <row r="12">
          <cell r="B12">
            <v>410</v>
          </cell>
          <cell r="C12">
            <v>6818069.6200000001</v>
          </cell>
          <cell r="D12">
            <v>0</v>
          </cell>
          <cell r="E12">
            <v>613627.56000000006</v>
          </cell>
          <cell r="F12">
            <v>613627.56000000006</v>
          </cell>
          <cell r="G12">
            <v>188468</v>
          </cell>
          <cell r="H12">
            <v>0</v>
          </cell>
          <cell r="I12">
            <v>16962.2</v>
          </cell>
          <cell r="J12">
            <v>16962.2</v>
          </cell>
          <cell r="K12">
            <v>2503863.62</v>
          </cell>
          <cell r="L12">
            <v>0</v>
          </cell>
          <cell r="M12">
            <v>225347.73</v>
          </cell>
          <cell r="N12">
            <v>225347.73</v>
          </cell>
          <cell r="O12">
            <v>-18200.000000000931</v>
          </cell>
          <cell r="P12">
            <v>0</v>
          </cell>
          <cell r="Q12">
            <v>-1638.0000000002328</v>
          </cell>
          <cell r="R12">
            <v>-1638.0000000002328</v>
          </cell>
        </row>
        <row r="13">
          <cell r="B13">
            <v>411</v>
          </cell>
          <cell r="C13">
            <v>113263545.52999999</v>
          </cell>
          <cell r="D13">
            <v>173271.74</v>
          </cell>
          <cell r="E13">
            <v>9834825.9400000032</v>
          </cell>
          <cell r="F13">
            <v>9834825.9400000032</v>
          </cell>
          <cell r="G13">
            <v>944780.84</v>
          </cell>
          <cell r="H13">
            <v>936</v>
          </cell>
          <cell r="I13">
            <v>84562.47</v>
          </cell>
          <cell r="J13">
            <v>84562.47</v>
          </cell>
          <cell r="K13">
            <v>3951239.31</v>
          </cell>
          <cell r="L13">
            <v>0</v>
          </cell>
          <cell r="M13">
            <v>355611.52999999997</v>
          </cell>
          <cell r="N13">
            <v>355611.52999999997</v>
          </cell>
          <cell r="O13">
            <v>-5200.0000001341105</v>
          </cell>
          <cell r="P13">
            <v>467.67080000019632</v>
          </cell>
          <cell r="Q13">
            <v>-701.99999999068677</v>
          </cell>
          <cell r="R13">
            <v>-701.99999999068677</v>
          </cell>
        </row>
        <row r="14">
          <cell r="B14">
            <v>412</v>
          </cell>
          <cell r="C14">
            <v>20203692.460000005</v>
          </cell>
          <cell r="D14">
            <v>0</v>
          </cell>
          <cell r="E14">
            <v>1817865.7799999998</v>
          </cell>
          <cell r="F14">
            <v>1817865.7799999998</v>
          </cell>
          <cell r="K14">
            <v>4565358.47</v>
          </cell>
          <cell r="L14">
            <v>0</v>
          </cell>
          <cell r="M14">
            <v>410882.26</v>
          </cell>
          <cell r="N14">
            <v>410882.26</v>
          </cell>
        </row>
        <row r="15">
          <cell r="B15">
            <v>413</v>
          </cell>
          <cell r="C15">
            <v>11837503.109999999</v>
          </cell>
          <cell r="D15">
            <v>0</v>
          </cell>
          <cell r="E15">
            <v>1065375.6199999994</v>
          </cell>
          <cell r="F15">
            <v>1065375.6199999994</v>
          </cell>
          <cell r="K15">
            <v>4132976.6400000001</v>
          </cell>
          <cell r="L15">
            <v>0</v>
          </cell>
          <cell r="M15">
            <v>371940.9</v>
          </cell>
          <cell r="N15">
            <v>371940.9</v>
          </cell>
        </row>
        <row r="16">
          <cell r="B16">
            <v>414</v>
          </cell>
          <cell r="C16">
            <v>6755313.75</v>
          </cell>
          <cell r="D16">
            <v>0</v>
          </cell>
          <cell r="E16">
            <v>381863.83999999997</v>
          </cell>
          <cell r="F16">
            <v>381863.83999999997</v>
          </cell>
          <cell r="G16">
            <v>2600</v>
          </cell>
          <cell r="H16">
            <v>0</v>
          </cell>
          <cell r="I16">
            <v>0</v>
          </cell>
          <cell r="J16">
            <v>0</v>
          </cell>
          <cell r="K16">
            <v>4500609.2300000004</v>
          </cell>
          <cell r="L16">
            <v>0</v>
          </cell>
          <cell r="M16">
            <v>405054.83</v>
          </cell>
          <cell r="N16">
            <v>405054.83</v>
          </cell>
          <cell r="O16">
            <v>-253498.00000000093</v>
          </cell>
          <cell r="P16">
            <v>0</v>
          </cell>
          <cell r="Q16">
            <v>0</v>
          </cell>
          <cell r="R16">
            <v>0</v>
          </cell>
        </row>
        <row r="17">
          <cell r="B17">
            <v>416</v>
          </cell>
          <cell r="C17">
            <v>4176205.4099999997</v>
          </cell>
          <cell r="D17">
            <v>0</v>
          </cell>
          <cell r="E17">
            <v>375859.07999999996</v>
          </cell>
          <cell r="F17">
            <v>375859.07999999996</v>
          </cell>
          <cell r="K17">
            <v>3305462.57</v>
          </cell>
          <cell r="L17">
            <v>0</v>
          </cell>
          <cell r="M17">
            <v>297491.63</v>
          </cell>
          <cell r="N17">
            <v>297491.63</v>
          </cell>
        </row>
        <row r="18">
          <cell r="B18">
            <v>417</v>
          </cell>
          <cell r="C18">
            <v>276453</v>
          </cell>
          <cell r="D18">
            <v>0</v>
          </cell>
          <cell r="E18">
            <v>24880.969999999994</v>
          </cell>
          <cell r="F18">
            <v>24880.969999999994</v>
          </cell>
          <cell r="K18">
            <v>3050242.5</v>
          </cell>
          <cell r="L18">
            <v>0</v>
          </cell>
          <cell r="M18">
            <v>274521.83</v>
          </cell>
          <cell r="N18">
            <v>274521.83</v>
          </cell>
        </row>
        <row r="19">
          <cell r="B19">
            <v>418</v>
          </cell>
          <cell r="C19">
            <v>9187832.2399999984</v>
          </cell>
          <cell r="D19">
            <v>0</v>
          </cell>
          <cell r="E19">
            <v>826671.58000000007</v>
          </cell>
          <cell r="F19">
            <v>826671.58000000007</v>
          </cell>
          <cell r="K19">
            <v>5292437.82</v>
          </cell>
          <cell r="L19">
            <v>0</v>
          </cell>
          <cell r="M19">
            <v>476319.4</v>
          </cell>
          <cell r="N19">
            <v>476319.4</v>
          </cell>
          <cell r="O19">
            <v>2504.6699999980628</v>
          </cell>
          <cell r="P19">
            <v>0</v>
          </cell>
          <cell r="Q19">
            <v>225.42030000011437</v>
          </cell>
          <cell r="R19">
            <v>225.42030000011437</v>
          </cell>
        </row>
        <row r="20">
          <cell r="B20">
            <v>420</v>
          </cell>
          <cell r="C20">
            <v>4805825.6900000004</v>
          </cell>
          <cell r="D20">
            <v>0</v>
          </cell>
          <cell r="E20">
            <v>432524.39999999997</v>
          </cell>
          <cell r="F20">
            <v>432524.39999999997</v>
          </cell>
          <cell r="K20">
            <v>3264347.12</v>
          </cell>
          <cell r="L20">
            <v>0</v>
          </cell>
          <cell r="M20">
            <v>293786.74</v>
          </cell>
          <cell r="N20">
            <v>293786.74</v>
          </cell>
        </row>
        <row r="21">
          <cell r="B21">
            <v>421</v>
          </cell>
          <cell r="C21">
            <v>25181050.77</v>
          </cell>
          <cell r="D21">
            <v>0</v>
          </cell>
          <cell r="E21">
            <v>2192490.5900000008</v>
          </cell>
          <cell r="F21">
            <v>2192490.5900000008</v>
          </cell>
          <cell r="G21">
            <v>78390</v>
          </cell>
          <cell r="H21">
            <v>2172.6</v>
          </cell>
          <cell r="I21">
            <v>5968.8</v>
          </cell>
          <cell r="J21">
            <v>5968.8</v>
          </cell>
          <cell r="K21">
            <v>5550668.0199999996</v>
          </cell>
          <cell r="L21">
            <v>0</v>
          </cell>
          <cell r="M21">
            <v>499560.1</v>
          </cell>
          <cell r="N21">
            <v>499560.1</v>
          </cell>
          <cell r="O21">
            <v>200.00000000745058</v>
          </cell>
          <cell r="P21">
            <v>0</v>
          </cell>
          <cell r="Q21">
            <v>252.20999999949709</v>
          </cell>
          <cell r="R21">
            <v>252.20999999949709</v>
          </cell>
          <cell r="S21">
            <v>0</v>
          </cell>
          <cell r="T21">
            <v>936</v>
          </cell>
          <cell r="U21">
            <v>-468</v>
          </cell>
          <cell r="V21">
            <v>-468</v>
          </cell>
        </row>
        <row r="22">
          <cell r="B22">
            <v>422</v>
          </cell>
          <cell r="C22">
            <v>47777352.249999985</v>
          </cell>
          <cell r="D22">
            <v>0</v>
          </cell>
          <cell r="E22">
            <v>4299962.6300000008</v>
          </cell>
          <cell r="F22">
            <v>4299962.6300000008</v>
          </cell>
          <cell r="K22">
            <v>4484631.8</v>
          </cell>
          <cell r="L22">
            <v>0</v>
          </cell>
          <cell r="M22">
            <v>403616.87</v>
          </cell>
          <cell r="N22">
            <v>403616.87</v>
          </cell>
        </row>
        <row r="23">
          <cell r="B23">
            <v>424</v>
          </cell>
          <cell r="C23">
            <v>38755557.399999999</v>
          </cell>
          <cell r="D23">
            <v>468</v>
          </cell>
          <cell r="E23">
            <v>3487532.69</v>
          </cell>
          <cell r="F23">
            <v>3487532.69</v>
          </cell>
          <cell r="K23">
            <v>7065053.0899999999</v>
          </cell>
          <cell r="L23">
            <v>0</v>
          </cell>
          <cell r="M23">
            <v>635854.79</v>
          </cell>
          <cell r="N23">
            <v>635854.79</v>
          </cell>
          <cell r="S23">
            <v>-5200</v>
          </cell>
          <cell r="T23">
            <v>0</v>
          </cell>
          <cell r="U23">
            <v>701.85000000009313</v>
          </cell>
          <cell r="V23">
            <v>701.85000000009313</v>
          </cell>
        </row>
        <row r="24">
          <cell r="B24">
            <v>426</v>
          </cell>
          <cell r="C24">
            <v>32939516.279999997</v>
          </cell>
          <cell r="D24">
            <v>0</v>
          </cell>
          <cell r="E24">
            <v>2926437.5299999989</v>
          </cell>
          <cell r="F24">
            <v>2926437.5299999989</v>
          </cell>
          <cell r="K24">
            <v>4331051.84</v>
          </cell>
          <cell r="L24">
            <v>0</v>
          </cell>
          <cell r="M24">
            <v>389794.68</v>
          </cell>
          <cell r="N24">
            <v>389794.68</v>
          </cell>
        </row>
        <row r="25">
          <cell r="B25">
            <v>430</v>
          </cell>
          <cell r="C25">
            <v>20021844.559999999</v>
          </cell>
          <cell r="D25">
            <v>11248.92</v>
          </cell>
          <cell r="E25">
            <v>1779077.4900000009</v>
          </cell>
          <cell r="F25">
            <v>1779077.4900000009</v>
          </cell>
          <cell r="G25">
            <v>2600</v>
          </cell>
          <cell r="H25">
            <v>0</v>
          </cell>
          <cell r="I25">
            <v>234</v>
          </cell>
          <cell r="J25">
            <v>234</v>
          </cell>
          <cell r="K25">
            <v>4763426.5999999996</v>
          </cell>
          <cell r="L25">
            <v>0</v>
          </cell>
          <cell r="M25">
            <v>428708.39</v>
          </cell>
          <cell r="N25">
            <v>428708.39</v>
          </cell>
        </row>
        <row r="26">
          <cell r="B26">
            <v>432</v>
          </cell>
          <cell r="C26">
            <v>45074738.830000013</v>
          </cell>
          <cell r="D26">
            <v>540</v>
          </cell>
          <cell r="E26">
            <v>4056226.6400000034</v>
          </cell>
          <cell r="F26">
            <v>4056226.6400000034</v>
          </cell>
          <cell r="G26">
            <v>396224.91000000003</v>
          </cell>
          <cell r="H26">
            <v>0</v>
          </cell>
          <cell r="I26">
            <v>35193.03</v>
          </cell>
          <cell r="J26">
            <v>35193.03</v>
          </cell>
          <cell r="K26">
            <v>3815329.38</v>
          </cell>
          <cell r="L26">
            <v>0</v>
          </cell>
          <cell r="M26">
            <v>343379.63999999996</v>
          </cell>
          <cell r="N26">
            <v>343379.63999999996</v>
          </cell>
          <cell r="O26">
            <v>15600.000000007451</v>
          </cell>
          <cell r="P26">
            <v>468</v>
          </cell>
          <cell r="Q26">
            <v>1170.0000000009313</v>
          </cell>
          <cell r="R26">
            <v>1170.0000000009313</v>
          </cell>
        </row>
        <row r="27">
          <cell r="B27">
            <v>434</v>
          </cell>
          <cell r="C27">
            <v>7347523.2199999997</v>
          </cell>
          <cell r="D27">
            <v>0</v>
          </cell>
          <cell r="E27">
            <v>661276.9800000001</v>
          </cell>
          <cell r="F27">
            <v>661276.9800000001</v>
          </cell>
          <cell r="G27">
            <v>110260</v>
          </cell>
          <cell r="H27">
            <v>0</v>
          </cell>
          <cell r="I27">
            <v>9923.4</v>
          </cell>
          <cell r="J27">
            <v>9923.4</v>
          </cell>
          <cell r="K27">
            <v>3315712.87</v>
          </cell>
          <cell r="L27">
            <v>0</v>
          </cell>
          <cell r="M27">
            <v>298414.15999999997</v>
          </cell>
          <cell r="N27">
            <v>298414.15999999997</v>
          </cell>
          <cell r="O27">
            <v>-2639.9999999981374</v>
          </cell>
          <cell r="P27">
            <v>0</v>
          </cell>
          <cell r="Q27">
            <v>-237.5999999998603</v>
          </cell>
          <cell r="R27">
            <v>-237.5999999998603</v>
          </cell>
        </row>
        <row r="28">
          <cell r="B28">
            <v>435</v>
          </cell>
          <cell r="C28">
            <v>23523928.340000007</v>
          </cell>
          <cell r="D28">
            <v>0</v>
          </cell>
          <cell r="E28">
            <v>2099345.6199999992</v>
          </cell>
          <cell r="F28">
            <v>2099345.6199999992</v>
          </cell>
          <cell r="G28">
            <v>267603.86</v>
          </cell>
          <cell r="H28">
            <v>0</v>
          </cell>
          <cell r="I28">
            <v>234</v>
          </cell>
          <cell r="J28">
            <v>234</v>
          </cell>
          <cell r="K28">
            <v>4927823.71</v>
          </cell>
          <cell r="L28">
            <v>0</v>
          </cell>
          <cell r="M28">
            <v>443504.12</v>
          </cell>
          <cell r="N28">
            <v>443504.12</v>
          </cell>
          <cell r="O28">
            <v>110100</v>
          </cell>
          <cell r="P28">
            <v>0</v>
          </cell>
          <cell r="Q28">
            <v>9908.9499999997206</v>
          </cell>
          <cell r="R28">
            <v>9908.9499999997206</v>
          </cell>
        </row>
        <row r="29">
          <cell r="B29">
            <v>436</v>
          </cell>
          <cell r="C29">
            <v>13202809.190000001</v>
          </cell>
          <cell r="D29">
            <v>0</v>
          </cell>
          <cell r="E29">
            <v>1188252.8899999999</v>
          </cell>
          <cell r="F29">
            <v>1188252.8899999999</v>
          </cell>
          <cell r="K29">
            <v>3326740.63</v>
          </cell>
          <cell r="L29">
            <v>0</v>
          </cell>
          <cell r="M29">
            <v>299406.67</v>
          </cell>
          <cell r="N29">
            <v>299406.67</v>
          </cell>
          <cell r="S29">
            <v>-18200</v>
          </cell>
          <cell r="T29">
            <v>0</v>
          </cell>
          <cell r="U29">
            <v>0</v>
          </cell>
          <cell r="V29">
            <v>0</v>
          </cell>
        </row>
        <row r="30">
          <cell r="B30">
            <v>437</v>
          </cell>
          <cell r="C30">
            <v>12177347.879999999</v>
          </cell>
          <cell r="D30">
            <v>0</v>
          </cell>
          <cell r="E30">
            <v>1095962.22</v>
          </cell>
          <cell r="F30">
            <v>1095962.22</v>
          </cell>
          <cell r="K30">
            <v>3553194.54</v>
          </cell>
          <cell r="L30">
            <v>0</v>
          </cell>
          <cell r="M30">
            <v>319787.51999999996</v>
          </cell>
          <cell r="N30">
            <v>319787.51999999996</v>
          </cell>
        </row>
        <row r="31">
          <cell r="B31">
            <v>438</v>
          </cell>
          <cell r="C31">
            <v>10893698.949999999</v>
          </cell>
          <cell r="D31">
            <v>0</v>
          </cell>
          <cell r="E31">
            <v>980432.25000000012</v>
          </cell>
          <cell r="F31">
            <v>980432.25000000012</v>
          </cell>
          <cell r="G31">
            <v>2600</v>
          </cell>
          <cell r="H31">
            <v>0</v>
          </cell>
          <cell r="I31">
            <v>234</v>
          </cell>
          <cell r="J31">
            <v>234</v>
          </cell>
          <cell r="K31">
            <v>5140919.26</v>
          </cell>
          <cell r="L31">
            <v>0</v>
          </cell>
          <cell r="M31">
            <v>462682.73</v>
          </cell>
          <cell r="N31">
            <v>462682.73</v>
          </cell>
        </row>
        <row r="32">
          <cell r="B32">
            <v>439</v>
          </cell>
          <cell r="C32">
            <v>21030692.990000002</v>
          </cell>
          <cell r="D32">
            <v>0</v>
          </cell>
          <cell r="E32">
            <v>1892762.5199999996</v>
          </cell>
          <cell r="F32">
            <v>1892762.5199999996</v>
          </cell>
          <cell r="G32">
            <v>10400</v>
          </cell>
          <cell r="H32">
            <v>0</v>
          </cell>
          <cell r="I32">
            <v>468</v>
          </cell>
          <cell r="J32">
            <v>468</v>
          </cell>
          <cell r="K32">
            <v>3128211.78</v>
          </cell>
          <cell r="L32">
            <v>0</v>
          </cell>
          <cell r="M32">
            <v>281539.06</v>
          </cell>
          <cell r="N32">
            <v>281539.06</v>
          </cell>
          <cell r="O32">
            <v>31791.749999985099</v>
          </cell>
          <cell r="P32">
            <v>3072.96</v>
          </cell>
          <cell r="Q32">
            <v>1324.7800000002608</v>
          </cell>
          <cell r="R32">
            <v>1324.7800000002608</v>
          </cell>
        </row>
        <row r="33">
          <cell r="B33">
            <v>440</v>
          </cell>
          <cell r="C33">
            <v>13270672.43</v>
          </cell>
          <cell r="D33">
            <v>0</v>
          </cell>
          <cell r="E33">
            <v>1193424.3999999999</v>
          </cell>
          <cell r="F33">
            <v>1193424.3999999999</v>
          </cell>
          <cell r="G33">
            <v>10400</v>
          </cell>
          <cell r="H33">
            <v>0</v>
          </cell>
          <cell r="I33">
            <v>0</v>
          </cell>
          <cell r="J33">
            <v>0</v>
          </cell>
          <cell r="K33">
            <v>3182470.14</v>
          </cell>
          <cell r="L33">
            <v>0</v>
          </cell>
          <cell r="M33">
            <v>286422.3</v>
          </cell>
          <cell r="N33">
            <v>286422.3</v>
          </cell>
          <cell r="O33">
            <v>205886</v>
          </cell>
          <cell r="P33">
            <v>0</v>
          </cell>
          <cell r="Q33">
            <v>18529.259999999893</v>
          </cell>
          <cell r="R33">
            <v>18529.259999999893</v>
          </cell>
          <cell r="S33">
            <v>4270</v>
          </cell>
          <cell r="T33">
            <v>0</v>
          </cell>
          <cell r="U33">
            <v>618</v>
          </cell>
          <cell r="V33">
            <v>618</v>
          </cell>
        </row>
        <row r="34">
          <cell r="B34">
            <v>442</v>
          </cell>
          <cell r="C34">
            <v>9127306.1400000006</v>
          </cell>
          <cell r="D34">
            <v>468</v>
          </cell>
          <cell r="E34">
            <v>821223.59999999986</v>
          </cell>
          <cell r="F34">
            <v>821223.59999999986</v>
          </cell>
          <cell r="G34">
            <v>136696</v>
          </cell>
          <cell r="H34">
            <v>468</v>
          </cell>
          <cell r="I34">
            <v>12068.64</v>
          </cell>
          <cell r="J34">
            <v>12068.64</v>
          </cell>
          <cell r="K34">
            <v>8354875.3799999999</v>
          </cell>
          <cell r="L34">
            <v>0</v>
          </cell>
          <cell r="M34">
            <v>751938.77999999991</v>
          </cell>
          <cell r="N34">
            <v>751938.77999999991</v>
          </cell>
          <cell r="O34">
            <v>2599.9999999981374</v>
          </cell>
          <cell r="P34">
            <v>468</v>
          </cell>
          <cell r="Q34">
            <v>0</v>
          </cell>
          <cell r="R34">
            <v>0</v>
          </cell>
        </row>
        <row r="35">
          <cell r="B35">
            <v>443</v>
          </cell>
          <cell r="C35">
            <v>2700998.5700000003</v>
          </cell>
          <cell r="D35">
            <v>0</v>
          </cell>
          <cell r="E35">
            <v>243090.15</v>
          </cell>
          <cell r="F35">
            <v>243090.15</v>
          </cell>
          <cell r="K35">
            <v>2903509.83</v>
          </cell>
          <cell r="L35">
            <v>0</v>
          </cell>
          <cell r="M35">
            <v>261315.88</v>
          </cell>
          <cell r="N35">
            <v>261315.88</v>
          </cell>
        </row>
        <row r="36">
          <cell r="B36">
            <v>444</v>
          </cell>
          <cell r="C36">
            <v>2327541</v>
          </cell>
          <cell r="D36">
            <v>0</v>
          </cell>
          <cell r="E36">
            <v>209478.21000000002</v>
          </cell>
          <cell r="F36">
            <v>209478.21000000002</v>
          </cell>
          <cell r="K36">
            <v>7068644.5800000001</v>
          </cell>
          <cell r="L36">
            <v>0</v>
          </cell>
          <cell r="M36">
            <v>636178</v>
          </cell>
          <cell r="N36">
            <v>636178</v>
          </cell>
        </row>
        <row r="37">
          <cell r="B37">
            <v>445</v>
          </cell>
          <cell r="C37">
            <v>147896</v>
          </cell>
          <cell r="D37">
            <v>0</v>
          </cell>
          <cell r="E37">
            <v>13310.64</v>
          </cell>
          <cell r="F37">
            <v>13310.64</v>
          </cell>
          <cell r="G37">
            <v>2600</v>
          </cell>
          <cell r="H37">
            <v>0</v>
          </cell>
          <cell r="I37">
            <v>234</v>
          </cell>
          <cell r="J37">
            <v>234</v>
          </cell>
          <cell r="K37">
            <v>4157938.36</v>
          </cell>
          <cell r="L37">
            <v>0</v>
          </cell>
          <cell r="M37">
            <v>374214.45</v>
          </cell>
          <cell r="N37">
            <v>374214.45</v>
          </cell>
        </row>
        <row r="38">
          <cell r="B38">
            <v>446</v>
          </cell>
          <cell r="C38">
            <v>4475156.9800000004</v>
          </cell>
          <cell r="D38">
            <v>0</v>
          </cell>
          <cell r="E38">
            <v>402765.99999999994</v>
          </cell>
          <cell r="F38">
            <v>402765.99999999994</v>
          </cell>
          <cell r="G38">
            <v>4870</v>
          </cell>
          <cell r="H38">
            <v>0</v>
          </cell>
          <cell r="I38">
            <v>438.5</v>
          </cell>
          <cell r="J38">
            <v>438.5</v>
          </cell>
          <cell r="K38">
            <v>4206407.09</v>
          </cell>
          <cell r="L38">
            <v>0</v>
          </cell>
          <cell r="M38">
            <v>378576.64000000001</v>
          </cell>
          <cell r="N38">
            <v>378576.64000000001</v>
          </cell>
          <cell r="O38">
            <v>1266824.9600000009</v>
          </cell>
          <cell r="P38">
            <v>0</v>
          </cell>
          <cell r="Q38">
            <v>114014.59640000004</v>
          </cell>
          <cell r="R38">
            <v>114014.59640000004</v>
          </cell>
        </row>
        <row r="39">
          <cell r="B39">
            <v>447</v>
          </cell>
          <cell r="C39">
            <v>93763</v>
          </cell>
          <cell r="D39">
            <v>0</v>
          </cell>
          <cell r="E39">
            <v>8438.67</v>
          </cell>
          <cell r="F39">
            <v>8438.67</v>
          </cell>
          <cell r="K39">
            <v>3217830</v>
          </cell>
          <cell r="L39">
            <v>0</v>
          </cell>
          <cell r="M39">
            <v>289604.7</v>
          </cell>
          <cell r="N39">
            <v>289604.7</v>
          </cell>
        </row>
        <row r="40">
          <cell r="B40">
            <v>450</v>
          </cell>
          <cell r="C40">
            <v>60696562.5</v>
          </cell>
          <cell r="D40">
            <v>0</v>
          </cell>
          <cell r="E40">
            <v>5462692.509999997</v>
          </cell>
          <cell r="F40">
            <v>5462692.509999997</v>
          </cell>
          <cell r="G40">
            <v>2600</v>
          </cell>
          <cell r="H40">
            <v>0</v>
          </cell>
          <cell r="I40">
            <v>234</v>
          </cell>
          <cell r="J40">
            <v>234</v>
          </cell>
          <cell r="K40">
            <v>4971430.62</v>
          </cell>
          <cell r="L40">
            <v>0</v>
          </cell>
          <cell r="M40">
            <v>447428.75999999995</v>
          </cell>
          <cell r="N40">
            <v>447428.75999999995</v>
          </cell>
        </row>
        <row r="41">
          <cell r="B41">
            <v>452</v>
          </cell>
          <cell r="C41">
            <v>12376489.65</v>
          </cell>
          <cell r="D41">
            <v>468</v>
          </cell>
          <cell r="E41">
            <v>1113416.96</v>
          </cell>
          <cell r="F41">
            <v>1113416.96</v>
          </cell>
          <cell r="G41">
            <v>158826</v>
          </cell>
          <cell r="H41">
            <v>0</v>
          </cell>
          <cell r="I41">
            <v>14060.340000000002</v>
          </cell>
          <cell r="J41">
            <v>14060.340000000002</v>
          </cell>
          <cell r="K41">
            <v>5253081.88</v>
          </cell>
          <cell r="L41">
            <v>0</v>
          </cell>
          <cell r="M41">
            <v>472777.37</v>
          </cell>
          <cell r="N41">
            <v>472777.37</v>
          </cell>
          <cell r="O41">
            <v>1527263.0000000037</v>
          </cell>
          <cell r="P41">
            <v>0</v>
          </cell>
          <cell r="Q41">
            <v>137453.66999999946</v>
          </cell>
          <cell r="R41">
            <v>137453.66999999946</v>
          </cell>
        </row>
        <row r="42">
          <cell r="B42">
            <v>460</v>
          </cell>
          <cell r="C42">
            <v>2908898.16</v>
          </cell>
          <cell r="D42">
            <v>0</v>
          </cell>
          <cell r="E42">
            <v>261802.39</v>
          </cell>
          <cell r="F42">
            <v>261802.39</v>
          </cell>
          <cell r="K42">
            <v>3513825.89</v>
          </cell>
          <cell r="L42">
            <v>0</v>
          </cell>
          <cell r="M42">
            <v>316244.32</v>
          </cell>
          <cell r="N42">
            <v>316244.32</v>
          </cell>
        </row>
        <row r="43">
          <cell r="B43">
            <v>462</v>
          </cell>
          <cell r="C43">
            <v>41790257.719999999</v>
          </cell>
          <cell r="D43">
            <v>0</v>
          </cell>
          <cell r="E43">
            <v>3761125.1299999994</v>
          </cell>
          <cell r="F43">
            <v>3761125.1299999994</v>
          </cell>
          <cell r="K43">
            <v>5752783.8799999999</v>
          </cell>
          <cell r="L43">
            <v>0</v>
          </cell>
          <cell r="M43">
            <v>517742.67</v>
          </cell>
          <cell r="N43">
            <v>517742.67</v>
          </cell>
        </row>
        <row r="44">
          <cell r="B44">
            <v>463</v>
          </cell>
          <cell r="C44">
            <v>4181759.7599999993</v>
          </cell>
          <cell r="D44">
            <v>0</v>
          </cell>
          <cell r="E44">
            <v>375657.42000000004</v>
          </cell>
          <cell r="F44">
            <v>375657.42000000004</v>
          </cell>
          <cell r="K44">
            <v>4859530.7</v>
          </cell>
          <cell r="L44">
            <v>0</v>
          </cell>
          <cell r="M44">
            <v>437357.76</v>
          </cell>
          <cell r="N44">
            <v>437357.76</v>
          </cell>
          <cell r="S44">
            <v>-5200</v>
          </cell>
          <cell r="T44">
            <v>0</v>
          </cell>
          <cell r="U44">
            <v>-468</v>
          </cell>
          <cell r="V44">
            <v>-468</v>
          </cell>
        </row>
        <row r="45">
          <cell r="B45">
            <v>470</v>
          </cell>
          <cell r="C45">
            <v>13369519</v>
          </cell>
          <cell r="D45">
            <v>0</v>
          </cell>
          <cell r="E45">
            <v>1203022.9699999997</v>
          </cell>
          <cell r="F45">
            <v>1203022.9699999997</v>
          </cell>
          <cell r="G45">
            <v>2600</v>
          </cell>
          <cell r="H45">
            <v>0</v>
          </cell>
          <cell r="I45">
            <v>0</v>
          </cell>
          <cell r="J45">
            <v>0</v>
          </cell>
          <cell r="K45">
            <v>4924424.97</v>
          </cell>
          <cell r="L45">
            <v>0</v>
          </cell>
          <cell r="M45">
            <v>443198.24</v>
          </cell>
          <cell r="N45">
            <v>443198.24</v>
          </cell>
          <cell r="S45">
            <v>0</v>
          </cell>
          <cell r="T45">
            <v>468</v>
          </cell>
          <cell r="U45">
            <v>-234</v>
          </cell>
          <cell r="V45">
            <v>-234</v>
          </cell>
        </row>
        <row r="46">
          <cell r="B46">
            <v>472</v>
          </cell>
          <cell r="C46">
            <v>17613415.84</v>
          </cell>
          <cell r="D46">
            <v>0</v>
          </cell>
          <cell r="E46">
            <v>1089680.5399999998</v>
          </cell>
          <cell r="F46">
            <v>1089680.5399999998</v>
          </cell>
          <cell r="K46">
            <v>8183464.2000000002</v>
          </cell>
          <cell r="L46">
            <v>0</v>
          </cell>
          <cell r="M46">
            <v>736511.78</v>
          </cell>
          <cell r="N46">
            <v>736511.78</v>
          </cell>
          <cell r="O46">
            <v>-7036721.6699999999</v>
          </cell>
          <cell r="P46">
            <v>0</v>
          </cell>
          <cell r="Q46">
            <v>0</v>
          </cell>
          <cell r="R46">
            <v>0</v>
          </cell>
          <cell r="S46">
            <v>1873767.9899999984</v>
          </cell>
          <cell r="T46">
            <v>0</v>
          </cell>
          <cell r="U46">
            <v>168639.12000000034</v>
          </cell>
          <cell r="V46">
            <v>168639.12000000034</v>
          </cell>
        </row>
        <row r="47">
          <cell r="B47">
            <v>474</v>
          </cell>
          <cell r="C47">
            <v>2312994.79</v>
          </cell>
          <cell r="D47">
            <v>0</v>
          </cell>
          <cell r="E47">
            <v>208169.75000000003</v>
          </cell>
          <cell r="F47">
            <v>208169.75000000003</v>
          </cell>
          <cell r="G47">
            <v>128660</v>
          </cell>
          <cell r="H47">
            <v>0</v>
          </cell>
          <cell r="I47">
            <v>11579.4</v>
          </cell>
          <cell r="J47">
            <v>11579.4</v>
          </cell>
          <cell r="K47">
            <v>4449109.72</v>
          </cell>
          <cell r="L47">
            <v>0</v>
          </cell>
          <cell r="M47">
            <v>400419.88</v>
          </cell>
          <cell r="N47">
            <v>400419.88</v>
          </cell>
        </row>
        <row r="48">
          <cell r="B48">
            <v>476</v>
          </cell>
          <cell r="C48">
            <v>2369963.71</v>
          </cell>
          <cell r="D48">
            <v>0</v>
          </cell>
          <cell r="E48">
            <v>213297.73999999993</v>
          </cell>
          <cell r="F48">
            <v>213297.73999999993</v>
          </cell>
          <cell r="K48">
            <v>3530462.12</v>
          </cell>
          <cell r="L48">
            <v>0</v>
          </cell>
          <cell r="M48">
            <v>317741.59999999998</v>
          </cell>
          <cell r="N48">
            <v>317741.59999999998</v>
          </cell>
        </row>
        <row r="49">
          <cell r="B49">
            <v>478</v>
          </cell>
          <cell r="C49">
            <v>227064</v>
          </cell>
          <cell r="D49">
            <v>0</v>
          </cell>
          <cell r="E49">
            <v>20437.260000000002</v>
          </cell>
          <cell r="F49">
            <v>20437.260000000002</v>
          </cell>
          <cell r="G49">
            <v>5200</v>
          </cell>
          <cell r="H49">
            <v>0</v>
          </cell>
          <cell r="I49">
            <v>468</v>
          </cell>
          <cell r="J49">
            <v>468</v>
          </cell>
          <cell r="K49">
            <v>2888927.31</v>
          </cell>
          <cell r="L49">
            <v>0</v>
          </cell>
          <cell r="M49">
            <v>260003.46</v>
          </cell>
          <cell r="N49">
            <v>260003.46</v>
          </cell>
        </row>
        <row r="50">
          <cell r="B50">
            <v>482</v>
          </cell>
          <cell r="C50">
            <v>1109261.76</v>
          </cell>
          <cell r="D50">
            <v>0</v>
          </cell>
          <cell r="E50">
            <v>99834.76</v>
          </cell>
          <cell r="F50">
            <v>99834.76</v>
          </cell>
          <cell r="K50">
            <v>1656209.34</v>
          </cell>
          <cell r="L50">
            <v>0</v>
          </cell>
          <cell r="M50">
            <v>149058.84</v>
          </cell>
          <cell r="N50">
            <v>149058.84</v>
          </cell>
        </row>
        <row r="51">
          <cell r="K51">
            <v>-104706</v>
          </cell>
          <cell r="L51">
            <v>-15972</v>
          </cell>
          <cell r="M51">
            <v>-1437.54</v>
          </cell>
          <cell r="N51">
            <v>-1437.54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FEB-2020"/>
      <sheetName val="Mar-2020"/>
      <sheetName val="Sheet1"/>
      <sheetName val="GST LD from June to September"/>
      <sheetName val="Sheet2"/>
      <sheetName val="Sheet3"/>
    </sheetNames>
    <sheetDataSet>
      <sheetData sheetId="0" refreshError="1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H2" t="str">
            <v xml:space="preserve">CHENNAI/SOUTH-1 </v>
          </cell>
          <cell r="J2" t="str">
            <v>CGST + SGST - 5%</v>
          </cell>
        </row>
        <row r="3">
          <cell r="H3" t="str">
            <v xml:space="preserve">CHENNAI/WEST </v>
          </cell>
          <cell r="J3" t="str">
            <v>CGST + SGST - 12%</v>
          </cell>
        </row>
        <row r="4">
          <cell r="H4" t="str">
            <v>CHENNAI/SOUTH-II</v>
          </cell>
          <cell r="J4" t="str">
            <v>CGST + SGST - 18%</v>
          </cell>
        </row>
        <row r="5">
          <cell r="H5" t="str">
            <v xml:space="preserve">CHENGLEPAT </v>
          </cell>
          <cell r="J5" t="str">
            <v>CGST + SGST - 28%</v>
          </cell>
        </row>
        <row r="6">
          <cell r="H6" t="str">
            <v>CE/CHENNAI/NORTH</v>
          </cell>
          <cell r="J6" t="str">
            <v>IGST - 5%</v>
          </cell>
        </row>
        <row r="7">
          <cell r="H7" t="str">
            <v xml:space="preserve">CHENNAI/NORTH </v>
          </cell>
          <cell r="J7" t="str">
            <v>IGST - 12%</v>
          </cell>
        </row>
        <row r="8">
          <cell r="H8" t="str">
            <v xml:space="preserve">CHENNAI/CENTRAL </v>
          </cell>
          <cell r="J8" t="str">
            <v>IGST - 18%</v>
          </cell>
        </row>
        <row r="9">
          <cell r="H9" t="str">
            <v>CE/VELLORE</v>
          </cell>
          <cell r="J9" t="str">
            <v>IGST - 28%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macro Pivot"/>
      <sheetName val="Conso. Sheet"/>
      <sheetName val="Sheet1"/>
      <sheetName val="Portal "/>
      <sheetName val="Portal pivot"/>
      <sheetName val="GSTR 3B reconciliation"/>
      <sheetName val="Pudukottai &amp; kallakurch removed"/>
    </sheetNames>
    <sheetDataSet>
      <sheetData sheetId="0">
        <row r="2">
          <cell r="H2" t="str">
            <v xml:space="preserve">CHENNAI/SOUTH-1 </v>
          </cell>
          <cell r="I2" t="str">
            <v>FLY ASH SALES</v>
          </cell>
          <cell r="J2" t="str">
            <v>CGST + SGST - 5%</v>
          </cell>
        </row>
        <row r="3">
          <cell r="H3" t="str">
            <v xml:space="preserve">CHENNAI/WEST </v>
          </cell>
          <cell r="I3" t="str">
            <v>COAL MILL REJECT</v>
          </cell>
          <cell r="J3" t="str">
            <v>CGST + SGST - 12%</v>
          </cell>
        </row>
        <row r="4">
          <cell r="H4" t="str">
            <v>CHENNAI/SOUTH-II</v>
          </cell>
          <cell r="I4" t="str">
            <v>INPLANT TRAINING</v>
          </cell>
          <cell r="J4" t="str">
            <v>CGST + SGST - 18%</v>
          </cell>
        </row>
        <row r="5">
          <cell r="H5" t="str">
            <v xml:space="preserve">CHENGLEPAT </v>
          </cell>
          <cell r="I5" t="str">
            <v>TENDER SALES</v>
          </cell>
          <cell r="J5" t="str">
            <v>CGST + SGST - 28%</v>
          </cell>
        </row>
        <row r="6">
          <cell r="H6" t="str">
            <v>CE/CHENNAI/NORTH</v>
          </cell>
          <cell r="I6" t="str">
            <v>TESTING FEES</v>
          </cell>
          <cell r="J6" t="str">
            <v>IGST - 5%</v>
          </cell>
        </row>
        <row r="7">
          <cell r="H7" t="str">
            <v xml:space="preserve">CHENNAI/NORTH </v>
          </cell>
          <cell r="I7" t="str">
            <v>NCES INCOME</v>
          </cell>
          <cell r="J7" t="str">
            <v>IGST - 12%</v>
          </cell>
        </row>
        <row r="8">
          <cell r="H8" t="str">
            <v xml:space="preserve">CHENNAI/CENTRAL </v>
          </cell>
          <cell r="I8" t="str">
            <v>RENTAL INCOME</v>
          </cell>
          <cell r="J8" t="str">
            <v>IGST - 18%</v>
          </cell>
        </row>
        <row r="9">
          <cell r="H9" t="str">
            <v>CE/VELLORE</v>
          </cell>
          <cell r="I9" t="str">
            <v>REGISTRATION FEES</v>
          </cell>
          <cell r="J9" t="str">
            <v>IGST - 28%</v>
          </cell>
        </row>
        <row r="10">
          <cell r="H10" t="str">
            <v xml:space="preserve">VELLORE </v>
          </cell>
          <cell r="I10" t="str">
            <v>SCRAP SALES</v>
          </cell>
        </row>
        <row r="11">
          <cell r="H11" t="str">
            <v xml:space="preserve">KRISHNAGIRI </v>
          </cell>
          <cell r="I11" t="str">
            <v>LIQUIDATED DAMAGES</v>
          </cell>
        </row>
        <row r="12">
          <cell r="H12" t="str">
            <v>KANCHEEPURAM</v>
          </cell>
          <cell r="I12" t="str">
            <v>PENAL INTEREST ON SD EMD GROUND RENT ETC</v>
          </cell>
        </row>
        <row r="13">
          <cell r="H13" t="str">
            <v>THIRUPATHUR</v>
          </cell>
          <cell r="I13" t="str">
            <v>DEMURRAGE CHARGES</v>
          </cell>
        </row>
        <row r="14">
          <cell r="H14" t="str">
            <v xml:space="preserve">DHARMAPURI </v>
          </cell>
          <cell r="I14" t="str">
            <v>COAL WING INCOME</v>
          </cell>
        </row>
        <row r="15">
          <cell r="H15" t="str">
            <v>CE/ERODE</v>
          </cell>
          <cell r="I15" t="str">
            <v>HT INCOME</v>
          </cell>
        </row>
        <row r="16">
          <cell r="H16" t="str">
            <v xml:space="preserve">SALEM </v>
          </cell>
          <cell r="I16" t="str">
            <v>LT INCOME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.1 AND 1.3"/>
      <sheetName val="Sheet1"/>
      <sheetName val="dropdown"/>
    </sheetNames>
    <sheetDataSet>
      <sheetData sheetId="0"/>
      <sheetData sheetId="1"/>
      <sheetData sheetId="2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2018-Annexure 1.1"/>
      <sheetName val="11-2018 Annx 1.1 weighment Chrg"/>
      <sheetName val="11-2018 Annexure 1.3"/>
      <sheetName val="dropdown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Unregistered"/>
      <sheetName val="Sheet1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workbookViewId="0">
      <selection activeCell="A8" sqref="A8"/>
    </sheetView>
  </sheetViews>
  <sheetFormatPr defaultRowHeight="15"/>
  <cols>
    <col min="1" max="1" width="38.140625" customWidth="1"/>
    <col min="2" max="2" width="24.42578125" customWidth="1"/>
    <col min="4" max="4" width="22" customWidth="1"/>
    <col min="5" max="5" width="9.140625" customWidth="1"/>
    <col min="6" max="6" width="12.42578125" customWidth="1"/>
    <col min="7" max="7" width="12" customWidth="1"/>
    <col min="8" max="8" width="10" customWidth="1"/>
    <col min="9" max="11" width="9.140625" customWidth="1"/>
    <col min="12" max="12" width="45.5703125" customWidth="1"/>
    <col min="13" max="16" width="9.140625" customWidth="1"/>
    <col min="17" max="17" width="21.5703125" customWidth="1"/>
    <col min="18" max="18" width="12" customWidth="1"/>
    <col min="19" max="21" width="9.140625" customWidth="1"/>
    <col min="22" max="22" width="11" customWidth="1"/>
    <col min="23" max="26" width="9.140625" customWidth="1"/>
    <col min="27" max="27" width="11" customWidth="1"/>
    <col min="28" max="28" width="10" customWidth="1"/>
    <col min="29" max="29" width="9.140625" customWidth="1"/>
    <col min="30" max="30" width="24.28515625" customWidth="1"/>
    <col min="31" max="31" width="13.85546875" customWidth="1"/>
    <col min="32" max="32" width="14.7109375" customWidth="1"/>
    <col min="33" max="33" width="14.42578125" customWidth="1"/>
    <col min="34" max="34" width="12.85546875" customWidth="1"/>
    <col min="35" max="36" width="9.140625" customWidth="1"/>
    <col min="37" max="37" width="19.7109375" customWidth="1"/>
    <col min="38" max="38" width="14.7109375" customWidth="1"/>
    <col min="39" max="41" width="9.140625" customWidth="1"/>
    <col min="42" max="42" width="24.28515625" customWidth="1"/>
    <col min="43" max="43" width="13.85546875" bestFit="1" customWidth="1"/>
    <col min="44" max="44" width="13.42578125" bestFit="1" customWidth="1"/>
    <col min="45" max="45" width="13.28515625" customWidth="1"/>
    <col min="46" max="46" width="9.140625" customWidth="1"/>
    <col min="47" max="47" width="22" customWidth="1"/>
    <col min="48" max="48" width="11.5703125" bestFit="1" customWidth="1"/>
    <col min="49" max="49" width="12.42578125" bestFit="1" customWidth="1"/>
    <col min="50" max="50" width="12.140625" bestFit="1" customWidth="1"/>
  </cols>
  <sheetData>
    <row r="1" spans="1:50" ht="19.5" thickBot="1">
      <c r="AQ1" s="64" t="s">
        <v>0</v>
      </c>
      <c r="AR1" s="64"/>
      <c r="AS1" s="64"/>
      <c r="AT1" s="1"/>
      <c r="AU1" s="2"/>
      <c r="AV1" s="65">
        <v>2090324</v>
      </c>
      <c r="AW1" s="65"/>
      <c r="AX1" s="65"/>
    </row>
    <row r="2" spans="1:50" ht="21">
      <c r="A2" s="66" t="s">
        <v>1</v>
      </c>
      <c r="B2" s="67"/>
      <c r="C2" s="67"/>
      <c r="D2" s="67"/>
      <c r="E2" s="67"/>
      <c r="F2" s="67"/>
      <c r="G2" s="68"/>
      <c r="AQ2" s="3">
        <v>2090321</v>
      </c>
      <c r="AR2" s="3">
        <v>2090320</v>
      </c>
      <c r="AS2" s="3">
        <v>2090319</v>
      </c>
      <c r="AT2" s="1"/>
      <c r="AU2" s="2"/>
      <c r="AV2" s="3">
        <v>2090324</v>
      </c>
      <c r="AW2" s="3">
        <v>2090323</v>
      </c>
      <c r="AX2" s="3">
        <v>2090322</v>
      </c>
    </row>
    <row r="3" spans="1:50" ht="15.75" thickBot="1">
      <c r="A3" s="4"/>
      <c r="B3" s="4"/>
      <c r="C3" s="4"/>
      <c r="G3" s="5"/>
      <c r="AU3" s="69"/>
      <c r="AV3" s="69"/>
      <c r="AW3" s="69"/>
      <c r="AX3" s="69"/>
    </row>
    <row r="4" spans="1:50" ht="39.75" customHeight="1" thickBot="1">
      <c r="A4" s="6"/>
      <c r="B4" s="7"/>
      <c r="C4" s="70" t="s">
        <v>114</v>
      </c>
      <c r="D4" s="71"/>
      <c r="E4" s="71"/>
      <c r="F4" s="71"/>
      <c r="G4" s="72"/>
      <c r="H4" s="70" t="s">
        <v>2</v>
      </c>
      <c r="I4" s="71"/>
      <c r="J4" s="73"/>
      <c r="K4" s="74"/>
      <c r="L4" s="73" t="s">
        <v>3</v>
      </c>
      <c r="M4" s="75"/>
      <c r="N4" s="75"/>
      <c r="O4" s="75"/>
      <c r="P4" s="74"/>
      <c r="Q4" s="73" t="s">
        <v>4</v>
      </c>
      <c r="R4" s="75"/>
      <c r="S4" s="75"/>
      <c r="T4" s="75"/>
      <c r="U4" s="74"/>
      <c r="V4" s="73" t="s">
        <v>5</v>
      </c>
      <c r="W4" s="75"/>
      <c r="X4" s="75"/>
      <c r="Y4" s="75"/>
      <c r="Z4" s="76" t="s">
        <v>115</v>
      </c>
      <c r="AA4" s="77"/>
      <c r="AB4" s="77"/>
      <c r="AC4" s="78"/>
      <c r="AD4" s="70" t="s">
        <v>6</v>
      </c>
      <c r="AE4" s="71"/>
      <c r="AF4" s="71"/>
      <c r="AG4" s="72"/>
      <c r="AH4" s="70" t="s">
        <v>112</v>
      </c>
      <c r="AI4" s="71"/>
      <c r="AJ4" s="71"/>
      <c r="AK4" s="72"/>
      <c r="AL4" s="70" t="s">
        <v>113</v>
      </c>
      <c r="AM4" s="71"/>
      <c r="AN4" s="71"/>
      <c r="AO4" s="72"/>
      <c r="AP4" s="70" t="s">
        <v>7</v>
      </c>
      <c r="AQ4" s="71"/>
      <c r="AR4" s="71"/>
      <c r="AS4" s="72"/>
      <c r="AU4" s="70" t="s">
        <v>8</v>
      </c>
      <c r="AV4" s="71"/>
      <c r="AW4" s="71"/>
      <c r="AX4" s="72"/>
    </row>
    <row r="5" spans="1:50" ht="15.75" thickBot="1">
      <c r="A5" s="14" t="s">
        <v>9</v>
      </c>
      <c r="B5" s="17" t="s">
        <v>10</v>
      </c>
      <c r="C5" s="9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8" t="s">
        <v>12</v>
      </c>
      <c r="I5" s="12" t="s">
        <v>13</v>
      </c>
      <c r="J5" s="12" t="s">
        <v>14</v>
      </c>
      <c r="K5" s="13" t="s">
        <v>15</v>
      </c>
      <c r="L5" s="8" t="s">
        <v>16</v>
      </c>
      <c r="M5" s="12" t="s">
        <v>12</v>
      </c>
      <c r="N5" s="12" t="s">
        <v>13</v>
      </c>
      <c r="O5" s="12" t="s">
        <v>14</v>
      </c>
      <c r="P5" s="14" t="s">
        <v>15</v>
      </c>
      <c r="Q5" s="8" t="s">
        <v>16</v>
      </c>
      <c r="R5" s="12" t="s">
        <v>12</v>
      </c>
      <c r="S5" s="12" t="s">
        <v>13</v>
      </c>
      <c r="T5" s="12" t="s">
        <v>14</v>
      </c>
      <c r="U5" s="14" t="s">
        <v>15</v>
      </c>
      <c r="V5" s="15" t="s">
        <v>12</v>
      </c>
      <c r="W5" s="15" t="s">
        <v>13</v>
      </c>
      <c r="X5" s="15" t="s">
        <v>14</v>
      </c>
      <c r="Y5" s="15" t="s">
        <v>15</v>
      </c>
      <c r="Z5" s="16" t="s">
        <v>12</v>
      </c>
      <c r="AA5" s="15" t="s">
        <v>13</v>
      </c>
      <c r="AB5" s="15" t="s">
        <v>14</v>
      </c>
      <c r="AC5" s="17" t="s">
        <v>15</v>
      </c>
      <c r="AD5" s="16" t="s">
        <v>12</v>
      </c>
      <c r="AE5" s="15" t="s">
        <v>13</v>
      </c>
      <c r="AF5" s="15" t="s">
        <v>14</v>
      </c>
      <c r="AG5" s="17" t="s">
        <v>15</v>
      </c>
      <c r="AH5" s="16" t="s">
        <v>12</v>
      </c>
      <c r="AI5" s="15" t="s">
        <v>13</v>
      </c>
      <c r="AJ5" s="15" t="s">
        <v>14</v>
      </c>
      <c r="AK5" s="17" t="s">
        <v>15</v>
      </c>
      <c r="AL5" s="16" t="s">
        <v>12</v>
      </c>
      <c r="AM5" s="15" t="s">
        <v>13</v>
      </c>
      <c r="AN5" s="15" t="s">
        <v>14</v>
      </c>
      <c r="AO5" s="17" t="s">
        <v>15</v>
      </c>
      <c r="AP5" s="16" t="s">
        <v>12</v>
      </c>
      <c r="AQ5" s="15" t="s">
        <v>13</v>
      </c>
      <c r="AR5" s="15" t="s">
        <v>14</v>
      </c>
      <c r="AS5" s="17" t="s">
        <v>15</v>
      </c>
      <c r="AU5" s="8" t="s">
        <v>12</v>
      </c>
      <c r="AV5" s="12" t="s">
        <v>13</v>
      </c>
      <c r="AW5" s="12" t="s">
        <v>14</v>
      </c>
      <c r="AX5" s="13" t="s">
        <v>15</v>
      </c>
    </row>
    <row r="6" spans="1:50">
      <c r="A6" s="22" t="s">
        <v>17</v>
      </c>
      <c r="B6">
        <v>2245</v>
      </c>
      <c r="C6" s="18">
        <v>635</v>
      </c>
      <c r="D6" s="18">
        <v>1220092</v>
      </c>
      <c r="E6" s="18"/>
      <c r="F6" s="18">
        <v>109808.27999999998</v>
      </c>
      <c r="G6" s="19">
        <v>109808.27999999998</v>
      </c>
      <c r="H6" s="20"/>
      <c r="I6" s="18"/>
      <c r="J6" s="18"/>
      <c r="K6" s="19"/>
      <c r="L6" s="20"/>
      <c r="M6" s="18"/>
      <c r="N6" s="18"/>
      <c r="O6" s="18"/>
      <c r="P6" s="19"/>
      <c r="Q6" s="18" t="s">
        <v>18</v>
      </c>
      <c r="R6" s="18">
        <v>0</v>
      </c>
      <c r="S6" s="18">
        <v>65716.2</v>
      </c>
      <c r="T6" s="18">
        <v>-32858.1</v>
      </c>
      <c r="U6" s="19">
        <v>-32858.1</v>
      </c>
      <c r="Z6" s="4"/>
      <c r="AC6" s="5"/>
      <c r="AD6" s="4"/>
      <c r="AG6" s="5"/>
      <c r="AH6" s="4"/>
      <c r="AK6" s="5"/>
      <c r="AL6" s="4"/>
      <c r="AO6" s="5"/>
      <c r="AP6" s="4">
        <f t="shared" ref="AP6:AS37" si="0">D6+H6+M6+R6+V6+Z6+AD6+AH6+AL6</f>
        <v>1220092</v>
      </c>
      <c r="AQ6">
        <f t="shared" si="0"/>
        <v>65716.2</v>
      </c>
      <c r="AR6">
        <f t="shared" si="0"/>
        <v>76950.179999999993</v>
      </c>
      <c r="AS6" s="5">
        <f t="shared" si="0"/>
        <v>76950.179999999993</v>
      </c>
      <c r="AU6" s="18"/>
      <c r="AV6" s="18"/>
      <c r="AW6" s="18"/>
      <c r="AX6" s="18"/>
    </row>
    <row r="7" spans="1:50">
      <c r="A7" s="22" t="s">
        <v>19</v>
      </c>
      <c r="B7">
        <v>2246</v>
      </c>
      <c r="C7" s="18">
        <v>636</v>
      </c>
      <c r="D7" s="18"/>
      <c r="E7" s="18"/>
      <c r="F7" s="18"/>
      <c r="G7" s="19"/>
      <c r="H7" s="20"/>
      <c r="I7" s="18"/>
      <c r="J7" s="18"/>
      <c r="K7" s="19"/>
      <c r="L7" s="20"/>
      <c r="M7" s="18"/>
      <c r="N7" s="18"/>
      <c r="O7" s="18"/>
      <c r="P7" s="19"/>
      <c r="Q7" s="20"/>
      <c r="R7" s="18"/>
      <c r="S7" s="18"/>
      <c r="T7" s="18"/>
      <c r="U7" s="19"/>
      <c r="Z7" s="4"/>
      <c r="AC7" s="5"/>
      <c r="AD7" s="4"/>
      <c r="AG7" s="5"/>
      <c r="AH7" s="4"/>
      <c r="AK7" s="5"/>
      <c r="AL7" s="4"/>
      <c r="AO7" s="5"/>
      <c r="AP7" s="4">
        <f t="shared" si="0"/>
        <v>0</v>
      </c>
      <c r="AQ7">
        <f t="shared" si="0"/>
        <v>0</v>
      </c>
      <c r="AR7">
        <f t="shared" si="0"/>
        <v>0</v>
      </c>
      <c r="AS7" s="5">
        <f t="shared" si="0"/>
        <v>0</v>
      </c>
      <c r="AU7" s="18">
        <v>137216</v>
      </c>
      <c r="AV7" s="18"/>
      <c r="AW7" s="18">
        <v>3430</v>
      </c>
      <c r="AX7" s="18">
        <v>3430</v>
      </c>
    </row>
    <row r="8" spans="1:50">
      <c r="A8" s="22" t="s">
        <v>20</v>
      </c>
      <c r="B8">
        <v>2101</v>
      </c>
      <c r="C8" s="18">
        <v>999</v>
      </c>
      <c r="D8" s="18">
        <v>12059300</v>
      </c>
      <c r="E8" s="18">
        <v>0</v>
      </c>
      <c r="F8" s="18">
        <v>1085337</v>
      </c>
      <c r="G8" s="19">
        <v>1085337</v>
      </c>
      <c r="H8" s="20"/>
      <c r="I8" s="18"/>
      <c r="J8" s="18"/>
      <c r="K8" s="19"/>
      <c r="L8" s="20"/>
      <c r="M8" s="18"/>
      <c r="N8" s="18"/>
      <c r="O8" s="18"/>
      <c r="P8" s="19"/>
      <c r="Q8" s="20"/>
      <c r="R8" s="18"/>
      <c r="S8" s="18"/>
      <c r="T8" s="18"/>
      <c r="U8" s="19"/>
      <c r="Z8" s="4"/>
      <c r="AA8" s="18"/>
      <c r="AB8" s="18"/>
      <c r="AC8" s="19"/>
      <c r="AD8" s="21"/>
      <c r="AG8" s="5"/>
      <c r="AH8" s="4"/>
      <c r="AK8" s="5"/>
      <c r="AL8" s="4"/>
      <c r="AO8" s="5"/>
      <c r="AP8" s="4">
        <f t="shared" si="0"/>
        <v>12059300</v>
      </c>
      <c r="AQ8">
        <f t="shared" si="0"/>
        <v>0</v>
      </c>
      <c r="AR8">
        <f t="shared" si="0"/>
        <v>1085337</v>
      </c>
      <c r="AS8" s="5">
        <f t="shared" si="0"/>
        <v>1085337</v>
      </c>
      <c r="AU8" s="18"/>
      <c r="AV8" s="18"/>
      <c r="AW8" s="18"/>
      <c r="AX8" s="18"/>
    </row>
    <row r="9" spans="1:50">
      <c r="A9" s="22" t="s">
        <v>21</v>
      </c>
      <c r="B9">
        <v>2101</v>
      </c>
      <c r="C9" s="18">
        <v>999</v>
      </c>
      <c r="D9" s="18"/>
      <c r="E9" s="18"/>
      <c r="F9" s="18"/>
      <c r="G9" s="19"/>
      <c r="H9" s="20"/>
      <c r="I9" s="18"/>
      <c r="J9" s="18"/>
      <c r="K9" s="19"/>
      <c r="L9" s="20"/>
      <c r="M9" s="18"/>
      <c r="N9" s="18"/>
      <c r="O9" s="18"/>
      <c r="P9" s="19"/>
      <c r="Q9" s="20"/>
      <c r="R9" s="18"/>
      <c r="S9" s="18"/>
      <c r="T9" s="18"/>
      <c r="U9" s="19"/>
      <c r="Z9" s="4"/>
      <c r="AC9" s="5"/>
      <c r="AD9" s="4"/>
      <c r="AG9" s="5"/>
      <c r="AH9" s="4"/>
      <c r="AK9" s="5"/>
      <c r="AL9" s="4"/>
      <c r="AO9" s="5"/>
      <c r="AP9" s="4">
        <f t="shared" si="0"/>
        <v>0</v>
      </c>
      <c r="AQ9">
        <f t="shared" si="0"/>
        <v>0</v>
      </c>
      <c r="AR9">
        <f t="shared" si="0"/>
        <v>0</v>
      </c>
      <c r="AS9" s="5">
        <f t="shared" si="0"/>
        <v>0</v>
      </c>
      <c r="AU9" s="18">
        <v>77688</v>
      </c>
      <c r="AV9" s="18"/>
      <c r="AW9" s="18">
        <v>1942.2</v>
      </c>
      <c r="AX9" s="18">
        <v>1942.2</v>
      </c>
    </row>
    <row r="10" spans="1:50">
      <c r="A10" s="22" t="s">
        <v>22</v>
      </c>
      <c r="B10">
        <v>2101</v>
      </c>
      <c r="C10" s="18">
        <v>999</v>
      </c>
      <c r="D10" s="18"/>
      <c r="E10" s="18"/>
      <c r="F10" s="18"/>
      <c r="G10" s="19"/>
      <c r="H10" s="20"/>
      <c r="I10" s="18"/>
      <c r="J10" s="18"/>
      <c r="K10" s="19"/>
      <c r="L10" s="20"/>
      <c r="M10" s="18"/>
      <c r="N10" s="18"/>
      <c r="O10" s="18"/>
      <c r="P10" s="19"/>
      <c r="Q10" s="20"/>
      <c r="R10" s="18"/>
      <c r="S10" s="18"/>
      <c r="T10" s="18"/>
      <c r="U10" s="19"/>
      <c r="Z10" s="4"/>
      <c r="AC10" s="5"/>
      <c r="AD10" s="4"/>
      <c r="AG10" s="5"/>
      <c r="AH10" s="4"/>
      <c r="AK10" s="5"/>
      <c r="AL10" s="4"/>
      <c r="AO10" s="5"/>
      <c r="AP10" s="4">
        <f t="shared" si="0"/>
        <v>0</v>
      </c>
      <c r="AQ10">
        <f t="shared" si="0"/>
        <v>0</v>
      </c>
      <c r="AR10">
        <f t="shared" si="0"/>
        <v>0</v>
      </c>
      <c r="AS10" s="5">
        <f t="shared" si="0"/>
        <v>0</v>
      </c>
      <c r="AU10" s="18">
        <v>262287</v>
      </c>
      <c r="AV10" s="18"/>
      <c r="AW10" s="18">
        <v>6557.1749999999993</v>
      </c>
      <c r="AX10" s="18">
        <v>6557.1749999999993</v>
      </c>
    </row>
    <row r="11" spans="1:50">
      <c r="A11" s="22" t="s">
        <v>23</v>
      </c>
      <c r="B11">
        <v>2203</v>
      </c>
      <c r="C11" s="18">
        <v>411</v>
      </c>
      <c r="D11" s="18">
        <v>22325</v>
      </c>
      <c r="E11" s="18"/>
      <c r="F11" s="18">
        <v>2009.25</v>
      </c>
      <c r="G11" s="19">
        <v>2009.25</v>
      </c>
      <c r="H11" s="20"/>
      <c r="I11" s="18"/>
      <c r="J11" s="18"/>
      <c r="K11" s="19"/>
      <c r="L11" s="20"/>
      <c r="M11" s="18"/>
      <c r="N11" s="18"/>
      <c r="O11" s="18"/>
      <c r="P11" s="19"/>
      <c r="Q11" s="20"/>
      <c r="R11" s="18"/>
      <c r="S11" s="18"/>
      <c r="T11" s="18"/>
      <c r="U11" s="19"/>
      <c r="V11">
        <f>VLOOKUP($C11,'[27]TDA HT &amp; LT'!$B$7:$V$51,2,0)</f>
        <v>113263545.52999999</v>
      </c>
      <c r="W11">
        <f>VLOOKUP($C11,'[27]TDA HT &amp; LT'!$B$7:$V$51,3,0)</f>
        <v>173271.74</v>
      </c>
      <c r="X11">
        <f>VLOOKUP($C11,'[27]TDA HT &amp; LT'!$B$7:$V$51,4,0)</f>
        <v>9834825.9400000032</v>
      </c>
      <c r="Y11">
        <f>VLOOKUP($C11,'[27]TDA HT &amp; LT'!$B$7:$V$51,5,0)</f>
        <v>9834825.9400000032</v>
      </c>
      <c r="Z11" s="4">
        <f>VLOOKUP($C11,'[27]TDA HT &amp; LT'!$B$7:$V$51,6,0)</f>
        <v>944780.84</v>
      </c>
      <c r="AA11">
        <f>VLOOKUP($C11,'[27]TDA HT &amp; LT'!$B$7:$V$51,7,0)</f>
        <v>936</v>
      </c>
      <c r="AB11">
        <f>VLOOKUP($C11,'[27]TDA HT &amp; LT'!$B$7:$V$51,8,0)</f>
        <v>84562.47</v>
      </c>
      <c r="AC11" s="5">
        <f>VLOOKUP($C11,'[27]TDA HT &amp; LT'!$B$7:$V$51,9,0)</f>
        <v>84562.47</v>
      </c>
      <c r="AD11" s="4">
        <f>VLOOKUP($C11,'[27]TDA HT &amp; LT'!$B$7:$V$51,10,0)</f>
        <v>3951239.31</v>
      </c>
      <c r="AE11">
        <f>VLOOKUP($C11,'[27]TDA HT &amp; LT'!$B$7:$V$51,11,0)</f>
        <v>0</v>
      </c>
      <c r="AF11">
        <f>VLOOKUP($C11,'[27]TDA HT &amp; LT'!$B$7:$V$51,12,0)</f>
        <v>355611.52999999997</v>
      </c>
      <c r="AG11" s="5">
        <f>VLOOKUP($C11,'[27]TDA HT &amp; LT'!$B$7:$V$51,13,0)</f>
        <v>355611.52999999997</v>
      </c>
      <c r="AH11" s="4">
        <f>VLOOKUP($C11,'[27]TDA HT &amp; LT'!$B$7:$V$51,14,0)</f>
        <v>-5200.0000001341105</v>
      </c>
      <c r="AI11">
        <f>VLOOKUP($C11,'[27]TDA HT &amp; LT'!$B$7:$V$51,15,0)</f>
        <v>467.67080000019632</v>
      </c>
      <c r="AJ11">
        <f>VLOOKUP($C11,'[27]TDA HT &amp; LT'!$B$7:$V$51,16,0)</f>
        <v>-701.99999999068677</v>
      </c>
      <c r="AK11" s="5">
        <f>VLOOKUP($C11,'[27]TDA HT &amp; LT'!$B$7:$V$51,17,0)</f>
        <v>-701.99999999068677</v>
      </c>
      <c r="AL11" s="4">
        <f>VLOOKUP($C11,'[27]TDA HT &amp; LT'!$B$7:$V$51,18,0)</f>
        <v>0</v>
      </c>
      <c r="AM11">
        <f>VLOOKUP($C11,'[27]TDA HT &amp; LT'!$B$7:$V$51,19,0)</f>
        <v>0</v>
      </c>
      <c r="AN11">
        <f>VLOOKUP($C11,'[27]TDA HT &amp; LT'!$B$7:$V$51,20,0)</f>
        <v>0</v>
      </c>
      <c r="AO11" s="5">
        <f>VLOOKUP($C11,'[27]TDA HT &amp; LT'!$B$7:$V$51,21,0)</f>
        <v>0</v>
      </c>
      <c r="AP11" s="4">
        <f t="shared" si="0"/>
        <v>118176690.67999986</v>
      </c>
      <c r="AQ11">
        <f t="shared" si="0"/>
        <v>174675.41080000019</v>
      </c>
      <c r="AR11">
        <f t="shared" si="0"/>
        <v>10276307.190000013</v>
      </c>
      <c r="AS11" s="5">
        <f t="shared" si="0"/>
        <v>10276307.190000013</v>
      </c>
      <c r="AU11" s="18">
        <v>380524.6</v>
      </c>
      <c r="AV11" s="18"/>
      <c r="AW11" s="18">
        <v>9513.1149999999998</v>
      </c>
      <c r="AX11" s="18">
        <v>9513.1149999999998</v>
      </c>
    </row>
    <row r="12" spans="1:50">
      <c r="A12" s="22" t="s">
        <v>24</v>
      </c>
      <c r="B12">
        <v>2205</v>
      </c>
      <c r="C12" s="18">
        <v>402</v>
      </c>
      <c r="D12" s="18"/>
      <c r="E12" s="18"/>
      <c r="F12" s="18"/>
      <c r="G12" s="19"/>
      <c r="H12" s="20"/>
      <c r="I12" s="18"/>
      <c r="J12" s="18"/>
      <c r="K12" s="19"/>
      <c r="L12" s="20"/>
      <c r="M12" s="18"/>
      <c r="N12" s="18"/>
      <c r="O12" s="18"/>
      <c r="P12" s="19"/>
      <c r="Q12" s="20"/>
      <c r="R12" s="18"/>
      <c r="S12" s="18"/>
      <c r="T12" s="18"/>
      <c r="U12" s="19"/>
      <c r="V12">
        <f>VLOOKUP($C12,'[27]TDA HT &amp; LT'!$B$7:$V$51,2,0)</f>
        <v>14885813.48</v>
      </c>
      <c r="W12">
        <f>VLOOKUP($C12,'[27]TDA HT &amp; LT'!$B$7:$V$51,3,0)</f>
        <v>0</v>
      </c>
      <c r="X12">
        <f>VLOOKUP($C12,'[27]TDA HT &amp; LT'!$B$7:$V$51,4,0)</f>
        <v>1339724.6100000006</v>
      </c>
      <c r="Y12">
        <f>VLOOKUP($C12,'[27]TDA HT &amp; LT'!$B$7:$V$51,5,0)</f>
        <v>1339724.6100000006</v>
      </c>
      <c r="Z12" s="4">
        <f>VLOOKUP($C12,'[27]TDA HT &amp; LT'!$B$7:$V$51,6,0)</f>
        <v>0</v>
      </c>
      <c r="AA12">
        <f>VLOOKUP($C12,'[27]TDA HT &amp; LT'!$B$7:$V$51,7,0)</f>
        <v>0</v>
      </c>
      <c r="AB12">
        <f>VLOOKUP($C12,'[27]TDA HT &amp; LT'!$B$7:$V$51,8,0)</f>
        <v>0</v>
      </c>
      <c r="AC12" s="5">
        <f>VLOOKUP($C12,'[27]TDA HT &amp; LT'!$B$7:$V$51,9,0)</f>
        <v>0</v>
      </c>
      <c r="AD12" s="4">
        <f>VLOOKUP($C12,'[27]TDA HT &amp; LT'!$B$7:$V$51,10,0)</f>
        <v>3199692.44</v>
      </c>
      <c r="AE12">
        <f>VLOOKUP($C12,'[27]TDA HT &amp; LT'!$B$7:$V$51,11,0)</f>
        <v>0</v>
      </c>
      <c r="AF12">
        <f>VLOOKUP($C12,'[27]TDA HT &amp; LT'!$B$7:$V$51,12,0)</f>
        <v>287972.31</v>
      </c>
      <c r="AG12" s="5">
        <f>VLOOKUP($C12,'[27]TDA HT &amp; LT'!$B$7:$V$51,13,0)</f>
        <v>287972.31</v>
      </c>
      <c r="AH12" s="4">
        <f>VLOOKUP($C12,'[27]TDA HT &amp; LT'!$B$7:$V$51,14,0)</f>
        <v>0</v>
      </c>
      <c r="AI12">
        <f>VLOOKUP($C12,'[27]TDA HT &amp; LT'!$B$7:$V$51,15,0)</f>
        <v>0</v>
      </c>
      <c r="AJ12">
        <f>VLOOKUP($C12,'[27]TDA HT &amp; LT'!$B$7:$V$51,16,0)</f>
        <v>0</v>
      </c>
      <c r="AK12" s="5">
        <f>VLOOKUP($C12,'[27]TDA HT &amp; LT'!$B$7:$V$51,17,0)</f>
        <v>0</v>
      </c>
      <c r="AL12" s="4">
        <f>VLOOKUP($C12,'[27]TDA HT &amp; LT'!$B$7:$V$51,18,0)</f>
        <v>0</v>
      </c>
      <c r="AM12">
        <f>VLOOKUP($C12,'[27]TDA HT &amp; LT'!$B$7:$V$51,19,0)</f>
        <v>0</v>
      </c>
      <c r="AN12">
        <f>VLOOKUP($C12,'[27]TDA HT &amp; LT'!$B$7:$V$51,20,0)</f>
        <v>0</v>
      </c>
      <c r="AO12" s="5">
        <f>VLOOKUP($C12,'[27]TDA HT &amp; LT'!$B$7:$V$51,21,0)</f>
        <v>0</v>
      </c>
      <c r="AP12" s="4">
        <f t="shared" si="0"/>
        <v>18085505.920000002</v>
      </c>
      <c r="AQ12">
        <f t="shared" si="0"/>
        <v>0</v>
      </c>
      <c r="AR12">
        <f t="shared" si="0"/>
        <v>1627696.9200000006</v>
      </c>
      <c r="AS12" s="5">
        <f t="shared" si="0"/>
        <v>1627696.9200000006</v>
      </c>
      <c r="AU12" s="18">
        <v>1319558</v>
      </c>
      <c r="AV12" s="18"/>
      <c r="AW12" s="18">
        <v>32988.949999999997</v>
      </c>
      <c r="AX12" s="18">
        <v>32988.949999999997</v>
      </c>
    </row>
    <row r="13" spans="1:50">
      <c r="A13" s="22" t="s">
        <v>25</v>
      </c>
      <c r="B13">
        <v>2201</v>
      </c>
      <c r="C13" s="18">
        <v>400</v>
      </c>
      <c r="D13" s="18">
        <v>491917</v>
      </c>
      <c r="E13" s="18">
        <v>10192.86</v>
      </c>
      <c r="F13" s="18">
        <v>39176.080000000002</v>
      </c>
      <c r="G13" s="19">
        <v>39176.080000000002</v>
      </c>
      <c r="H13" s="20"/>
      <c r="I13" s="18"/>
      <c r="J13" s="18"/>
      <c r="K13" s="19"/>
      <c r="L13" s="20"/>
      <c r="M13" s="18"/>
      <c r="N13" s="18"/>
      <c r="O13" s="18"/>
      <c r="P13" s="19"/>
      <c r="Q13" s="20"/>
      <c r="R13" s="18"/>
      <c r="S13" s="18"/>
      <c r="T13" s="18"/>
      <c r="U13" s="19"/>
      <c r="V13" s="22">
        <f>VLOOKUP($C13,'[27]TDA HT &amp; LT'!$B$7:$V$51,2,0)</f>
        <v>9767694.4000000041</v>
      </c>
      <c r="W13" s="22">
        <f>VLOOKUP($C13,'[27]TDA HT &amp; LT'!$B$7:$V$51,3,0)</f>
        <v>101818.08</v>
      </c>
      <c r="X13">
        <f>VLOOKUP($C13,'[27]TDA HT &amp; LT'!$B$7:$V$51,4,0)</f>
        <v>828183.53999999957</v>
      </c>
      <c r="Y13">
        <f>VLOOKUP($C13,'[27]TDA HT &amp; LT'!$B$7:$V$51,5,0)</f>
        <v>828183.53999999957</v>
      </c>
      <c r="Z13" s="4">
        <f>VLOOKUP($C13,'[27]TDA HT &amp; LT'!$B$7:$V$51,6,0)</f>
        <v>0</v>
      </c>
      <c r="AA13">
        <f>VLOOKUP($C13,'[27]TDA HT &amp; LT'!$B$7:$V$51,7,0)</f>
        <v>0</v>
      </c>
      <c r="AB13" s="4">
        <f>VLOOKUP($C13,'[27]TDA HT &amp; LT'!$B$7:$V$51,8,0)</f>
        <v>0</v>
      </c>
      <c r="AC13" s="5">
        <f>VLOOKUP($C13,'[27]TDA HT &amp; LT'!$B$7:$V$51,9,0)</f>
        <v>0</v>
      </c>
      <c r="AD13" s="4">
        <f>VLOOKUP($C13,'[27]TDA HT &amp; LT'!$B$7:$V$51,10,0)</f>
        <v>4214488.78</v>
      </c>
      <c r="AE13" s="5">
        <f>VLOOKUP($C13,'[27]TDA HT &amp; LT'!$B$7:$V$51,11,0)</f>
        <v>0</v>
      </c>
      <c r="AF13">
        <f>VLOOKUP($C13,'[27]TDA HT &amp; LT'!$B$7:$V$51,12,0)</f>
        <v>379303.98</v>
      </c>
      <c r="AG13" s="22">
        <f>VLOOKUP($C13,'[27]TDA HT &amp; LT'!$B$7:$V$51,13,0)</f>
        <v>379303.98</v>
      </c>
      <c r="AH13" s="4">
        <f>VLOOKUP($C13,'[27]TDA HT &amp; LT'!$B$7:$V$51,14,0)</f>
        <v>6051180.0000000047</v>
      </c>
      <c r="AI13" s="4">
        <f>VLOOKUP($C13,'[27]TDA HT &amp; LT'!$B$7:$V$51,15,0)</f>
        <v>-0.10220000000845175</v>
      </c>
      <c r="AJ13" s="4">
        <f>VLOOKUP($C13,'[27]TDA HT &amp; LT'!$B$7:$V$51,16,0)</f>
        <v>544606.19999999984</v>
      </c>
      <c r="AK13" s="22">
        <f>VLOOKUP($C13,'[27]TDA HT &amp; LT'!$B$7:$V$51,17,0)</f>
        <v>544606.19999999984</v>
      </c>
      <c r="AL13" s="4">
        <f>VLOOKUP($C13,'[27]TDA HT &amp; LT'!$B$7:$V$51,18,0)</f>
        <v>-2600</v>
      </c>
      <c r="AM13" s="4">
        <f>VLOOKUP($C13,'[27]TDA HT &amp; LT'!$B$7:$V$51,19,0)</f>
        <v>0</v>
      </c>
      <c r="AN13" s="4">
        <f>VLOOKUP($C13,'[27]TDA HT &amp; LT'!$B$7:$V$51,20,0)</f>
        <v>0</v>
      </c>
      <c r="AO13" s="5">
        <f>VLOOKUP($C13,'[27]TDA HT &amp; LT'!$B$7:$V$51,21,0)</f>
        <v>0</v>
      </c>
      <c r="AP13" s="4">
        <f t="shared" si="0"/>
        <v>20522680.180000007</v>
      </c>
      <c r="AQ13" s="5">
        <f t="shared" si="0"/>
        <v>112010.83779999999</v>
      </c>
      <c r="AR13">
        <f t="shared" si="0"/>
        <v>1791269.7999999993</v>
      </c>
      <c r="AS13" s="5">
        <f t="shared" si="0"/>
        <v>1791269.7999999993</v>
      </c>
      <c r="AU13" s="18">
        <v>705171.6303470541</v>
      </c>
      <c r="AV13" s="18"/>
      <c r="AW13" s="18">
        <v>17629.29075867635</v>
      </c>
      <c r="AX13" s="18">
        <v>17629.29075867635</v>
      </c>
    </row>
    <row r="14" spans="1:50">
      <c r="A14" s="22" t="s">
        <v>26</v>
      </c>
      <c r="B14">
        <v>2202</v>
      </c>
      <c r="C14" s="18">
        <v>401</v>
      </c>
      <c r="D14" s="18">
        <v>345500</v>
      </c>
      <c r="E14" s="18">
        <v>8519.9400000000023</v>
      </c>
      <c r="F14" s="18">
        <v>26835.029999999992</v>
      </c>
      <c r="G14" s="19">
        <v>26835.029999999992</v>
      </c>
      <c r="H14" s="20"/>
      <c r="I14" s="18"/>
      <c r="J14" s="18"/>
      <c r="K14" s="19"/>
      <c r="L14" s="20" t="s">
        <v>27</v>
      </c>
      <c r="M14" s="18">
        <v>0</v>
      </c>
      <c r="N14" s="23">
        <v>18662</v>
      </c>
      <c r="O14" s="23">
        <v>-9331</v>
      </c>
      <c r="P14" s="24">
        <v>-9331</v>
      </c>
      <c r="Q14" s="20" t="s">
        <v>18</v>
      </c>
      <c r="R14" s="18">
        <v>0</v>
      </c>
      <c r="S14" s="18">
        <v>768.6</v>
      </c>
      <c r="T14" s="18">
        <v>-384.29999999999927</v>
      </c>
      <c r="U14" s="19">
        <v>-384.29999999999927</v>
      </c>
      <c r="V14">
        <f>VLOOKUP($C14,'[27]TDA HT &amp; LT'!$B$7:$V$51,2,0)</f>
        <v>33017424.699999996</v>
      </c>
      <c r="W14">
        <f>VLOOKUP($C14,'[27]TDA HT &amp; LT'!$B$7:$V$51,3,0)</f>
        <v>936</v>
      </c>
      <c r="X14">
        <f>VLOOKUP($C14,'[27]TDA HT &amp; LT'!$B$7:$V$51,4,0)</f>
        <v>2608425.88</v>
      </c>
      <c r="Y14">
        <f>VLOOKUP($C14,'[27]TDA HT &amp; LT'!$B$7:$V$51,5,0)</f>
        <v>2608425.88</v>
      </c>
      <c r="Z14" s="4">
        <f>VLOOKUP($C14,'[27]TDA HT &amp; LT'!$B$7:$V$51,6,0)</f>
        <v>0</v>
      </c>
      <c r="AA14">
        <f>VLOOKUP($C14,'[27]TDA HT &amp; LT'!$B$7:$V$51,7,0)</f>
        <v>0</v>
      </c>
      <c r="AB14">
        <f>VLOOKUP($C14,'[27]TDA HT &amp; LT'!$B$7:$V$51,8,0)</f>
        <v>0</v>
      </c>
      <c r="AC14" s="5">
        <f>VLOOKUP($C14,'[27]TDA HT &amp; LT'!$B$7:$V$51,9,0)</f>
        <v>0</v>
      </c>
      <c r="AD14" s="4">
        <f>VLOOKUP($C14,'[27]TDA HT &amp; LT'!$B$7:$V$51,10,0)</f>
        <v>5391195.3899999997</v>
      </c>
      <c r="AE14">
        <f>VLOOKUP($C14,'[27]TDA HT &amp; LT'!$B$7:$V$51,11,0)</f>
        <v>0</v>
      </c>
      <c r="AF14">
        <f>VLOOKUP($C14,'[27]TDA HT &amp; LT'!$B$7:$V$51,12,0)</f>
        <v>485207.57</v>
      </c>
      <c r="AG14" s="5">
        <f>VLOOKUP($C14,'[27]TDA HT &amp; LT'!$B$7:$V$51,13,0)</f>
        <v>485207.57</v>
      </c>
      <c r="AH14" s="4">
        <f>VLOOKUP($C14,'[27]TDA HT &amp; LT'!$B$7:$V$51,14,0)</f>
        <v>1080399.9999999888</v>
      </c>
      <c r="AI14">
        <f>VLOOKUP($C14,'[27]TDA HT &amp; LT'!$B$7:$V$51,15,0)</f>
        <v>22726.082800000091</v>
      </c>
      <c r="AJ14">
        <f>VLOOKUP($C14,'[27]TDA HT &amp; LT'!$B$7:$V$51,16,0)</f>
        <v>85872.640000000829</v>
      </c>
      <c r="AK14" s="5">
        <f>VLOOKUP($C14,'[27]TDA HT &amp; LT'!$B$7:$V$51,17,0)</f>
        <v>85872.640000000829</v>
      </c>
      <c r="AL14" s="4">
        <f>VLOOKUP($C14,'[27]TDA HT &amp; LT'!$B$7:$V$51,18,0)</f>
        <v>9445.9999999925494</v>
      </c>
      <c r="AM14">
        <f>VLOOKUP($C14,'[27]TDA HT &amp; LT'!$B$7:$V$51,19,0)</f>
        <v>-936</v>
      </c>
      <c r="AN14">
        <f>VLOOKUP($C14,'[27]TDA HT &amp; LT'!$B$7:$V$51,20,0)</f>
        <v>233.92000000039116</v>
      </c>
      <c r="AO14" s="5">
        <f>VLOOKUP($C14,'[27]TDA HT &amp; LT'!$B$7:$V$51,21,0)</f>
        <v>233.92000000039116</v>
      </c>
      <c r="AP14" s="4">
        <f t="shared" si="0"/>
        <v>39843966.089999981</v>
      </c>
      <c r="AQ14">
        <f t="shared" si="0"/>
        <v>50676.622800000092</v>
      </c>
      <c r="AR14">
        <f t="shared" si="0"/>
        <v>3196859.7400000007</v>
      </c>
      <c r="AS14" s="5">
        <f t="shared" si="0"/>
        <v>3196859.7400000007</v>
      </c>
      <c r="AU14" s="18">
        <v>376666.24</v>
      </c>
      <c r="AV14" s="18"/>
      <c r="AW14" s="18">
        <v>9416.6560000000009</v>
      </c>
      <c r="AX14" s="18">
        <v>9416.6560000000009</v>
      </c>
    </row>
    <row r="15" spans="1:50">
      <c r="A15" s="22" t="s">
        <v>28</v>
      </c>
      <c r="B15">
        <v>2206</v>
      </c>
      <c r="C15" s="18">
        <v>404</v>
      </c>
      <c r="D15" s="18">
        <v>3223705.5700000003</v>
      </c>
      <c r="E15" s="18">
        <v>101409.12</v>
      </c>
      <c r="F15" s="18">
        <v>239428.94</v>
      </c>
      <c r="G15" s="19">
        <v>239428.94</v>
      </c>
      <c r="H15" s="20"/>
      <c r="I15" s="18"/>
      <c r="J15" s="18"/>
      <c r="K15" s="19"/>
      <c r="L15" s="20"/>
      <c r="M15" s="18"/>
      <c r="N15" s="18"/>
      <c r="O15" s="18"/>
      <c r="P15" s="18"/>
      <c r="Q15" s="20" t="s">
        <v>18</v>
      </c>
      <c r="R15" s="18">
        <v>0</v>
      </c>
      <c r="S15" s="18">
        <v>180</v>
      </c>
      <c r="T15" s="18">
        <v>-90</v>
      </c>
      <c r="U15" s="19">
        <v>-90</v>
      </c>
      <c r="V15">
        <f>VLOOKUP($C15,'[27]TDA HT &amp; LT'!$B$7:$V$51,2,0)</f>
        <v>37771331.430000007</v>
      </c>
      <c r="W15">
        <f>VLOOKUP($C15,'[27]TDA HT &amp; LT'!$B$7:$V$51,3,0)</f>
        <v>0</v>
      </c>
      <c r="X15">
        <f>VLOOKUP($C15,'[27]TDA HT &amp; LT'!$B$7:$V$51,4,0)</f>
        <v>3246303.5000000009</v>
      </c>
      <c r="Y15">
        <f>VLOOKUP($C15,'[27]TDA HT &amp; LT'!$B$7:$V$51,5,0)</f>
        <v>3246303.5000000009</v>
      </c>
      <c r="Z15" s="4">
        <f>VLOOKUP($C15,'[27]TDA HT &amp; LT'!$B$7:$V$51,6,0)</f>
        <v>0</v>
      </c>
      <c r="AA15">
        <f>VLOOKUP($C15,'[27]TDA HT &amp; LT'!$B$7:$V$51,7,0)</f>
        <v>0</v>
      </c>
      <c r="AB15">
        <f>VLOOKUP($C15,'[27]TDA HT &amp; LT'!$B$7:$V$51,8,0)</f>
        <v>0</v>
      </c>
      <c r="AC15" s="5">
        <f>VLOOKUP($C15,'[27]TDA HT &amp; LT'!$B$7:$V$51,9,0)</f>
        <v>0</v>
      </c>
      <c r="AD15" s="4">
        <f>VLOOKUP($C15,'[27]TDA HT &amp; LT'!$B$7:$V$51,10,0)</f>
        <v>3851356.73</v>
      </c>
      <c r="AE15">
        <f>VLOOKUP($C15,'[27]TDA HT &amp; LT'!$B$7:$V$51,11,0)</f>
        <v>0</v>
      </c>
      <c r="AF15">
        <f>VLOOKUP($C15,'[27]TDA HT &amp; LT'!$B$7:$V$51,12,0)</f>
        <v>346622.10000000003</v>
      </c>
      <c r="AG15" s="5">
        <f>VLOOKUP($C15,'[27]TDA HT &amp; LT'!$B$7:$V$51,13,0)</f>
        <v>346622.10000000003</v>
      </c>
      <c r="AH15" s="4">
        <f>VLOOKUP($C15,'[27]TDA HT &amp; LT'!$B$7:$V$51,14,0)</f>
        <v>0</v>
      </c>
      <c r="AI15">
        <f>VLOOKUP($C15,'[27]TDA HT &amp; LT'!$B$7:$V$51,15,0)</f>
        <v>0</v>
      </c>
      <c r="AJ15">
        <f>VLOOKUP($C15,'[27]TDA HT &amp; LT'!$B$7:$V$51,16,0)</f>
        <v>0</v>
      </c>
      <c r="AK15" s="5">
        <f>VLOOKUP($C15,'[27]TDA HT &amp; LT'!$B$7:$V$51,17,0)</f>
        <v>0</v>
      </c>
      <c r="AL15" s="4">
        <f>VLOOKUP($C15,'[27]TDA HT &amp; LT'!$B$7:$V$51,18,0)</f>
        <v>0</v>
      </c>
      <c r="AM15">
        <f>VLOOKUP($C15,'[27]TDA HT &amp; LT'!$B$7:$V$51,19,0)</f>
        <v>0</v>
      </c>
      <c r="AN15">
        <f>VLOOKUP($C15,'[27]TDA HT &amp; LT'!$B$7:$V$51,20,0)</f>
        <v>0</v>
      </c>
      <c r="AO15" s="5">
        <f>VLOOKUP($C15,'[27]TDA HT &amp; LT'!$B$7:$V$51,21,0)</f>
        <v>0</v>
      </c>
      <c r="AP15" s="4">
        <f t="shared" si="0"/>
        <v>44846393.730000004</v>
      </c>
      <c r="AQ15">
        <f t="shared" si="0"/>
        <v>101589.12</v>
      </c>
      <c r="AR15">
        <f t="shared" si="0"/>
        <v>3832264.540000001</v>
      </c>
      <c r="AS15" s="5">
        <f t="shared" si="0"/>
        <v>3832264.540000001</v>
      </c>
      <c r="AU15" s="18">
        <v>1202813</v>
      </c>
      <c r="AV15" s="18"/>
      <c r="AW15" s="18">
        <v>30070.325000000001</v>
      </c>
      <c r="AX15" s="18">
        <v>30070.325000000001</v>
      </c>
    </row>
    <row r="16" spans="1:50">
      <c r="A16" s="22" t="s">
        <v>29</v>
      </c>
      <c r="B16">
        <v>2207</v>
      </c>
      <c r="C16" s="18">
        <v>406</v>
      </c>
      <c r="D16" s="18">
        <v>1950</v>
      </c>
      <c r="E16" s="18"/>
      <c r="F16" s="18">
        <v>175.5</v>
      </c>
      <c r="G16" s="19">
        <v>175.5</v>
      </c>
      <c r="H16" s="20"/>
      <c r="I16" s="18"/>
      <c r="J16" s="18"/>
      <c r="K16" s="19"/>
      <c r="L16" s="20"/>
      <c r="M16" s="18"/>
      <c r="N16" s="18"/>
      <c r="O16" s="18"/>
      <c r="P16" s="19"/>
      <c r="Q16" s="20"/>
      <c r="R16" s="18"/>
      <c r="S16" s="18"/>
      <c r="T16" s="18"/>
      <c r="U16" s="19"/>
      <c r="V16">
        <f>VLOOKUP($C16,'[27]TDA HT &amp; LT'!$B$7:$V$51,2,0)</f>
        <v>22108634.32</v>
      </c>
      <c r="W16">
        <f>VLOOKUP($C16,'[27]TDA HT &amp; LT'!$B$7:$V$51,3,0)</f>
        <v>0</v>
      </c>
      <c r="X16">
        <f>VLOOKUP($C16,'[27]TDA HT &amp; LT'!$B$7:$V$51,4,0)</f>
        <v>1989778.0000000002</v>
      </c>
      <c r="Y16">
        <f>VLOOKUP($C16,'[27]TDA HT &amp; LT'!$B$7:$V$51,5,0)</f>
        <v>1989778.0000000002</v>
      </c>
      <c r="Z16" s="4">
        <f>VLOOKUP($C16,'[27]TDA HT &amp; LT'!$B$7:$V$51,6,0)</f>
        <v>2600</v>
      </c>
      <c r="AA16">
        <f>VLOOKUP($C16,'[27]TDA HT &amp; LT'!$B$7:$V$51,7,0)</f>
        <v>468</v>
      </c>
      <c r="AB16">
        <f>VLOOKUP($C16,'[27]TDA HT &amp; LT'!$B$7:$V$51,8,0)</f>
        <v>0</v>
      </c>
      <c r="AC16" s="5">
        <f>VLOOKUP($C16,'[27]TDA HT &amp; LT'!$B$7:$V$51,9,0)</f>
        <v>0</v>
      </c>
      <c r="AD16" s="4">
        <f>VLOOKUP($C16,'[27]TDA HT &amp; LT'!$B$7:$V$51,10,0)</f>
        <v>4464317.0199999996</v>
      </c>
      <c r="AE16">
        <f>VLOOKUP($C16,'[27]TDA HT &amp; LT'!$B$7:$V$51,11,0)</f>
        <v>0</v>
      </c>
      <c r="AF16">
        <f>VLOOKUP($C16,'[27]TDA HT &amp; LT'!$B$7:$V$51,12,0)</f>
        <v>401788.52</v>
      </c>
      <c r="AG16" s="5">
        <f>VLOOKUP($C16,'[27]TDA HT &amp; LT'!$B$7:$V$51,13,0)</f>
        <v>401788.52</v>
      </c>
      <c r="AH16" s="4">
        <f>VLOOKUP($C16,'[27]TDA HT &amp; LT'!$B$7:$V$51,14,0)</f>
        <v>0</v>
      </c>
      <c r="AI16">
        <f>VLOOKUP($C16,'[27]TDA HT &amp; LT'!$B$7:$V$51,15,0)</f>
        <v>468</v>
      </c>
      <c r="AJ16">
        <f>VLOOKUP($C16,'[27]TDA HT &amp; LT'!$B$7:$V$51,16,0)</f>
        <v>-234.00000000046566</v>
      </c>
      <c r="AK16" s="5">
        <f>VLOOKUP($C16,'[27]TDA HT &amp; LT'!$B$7:$V$51,17,0)</f>
        <v>-234.00000000046566</v>
      </c>
      <c r="AL16" s="4">
        <f>VLOOKUP($C16,'[27]TDA HT &amp; LT'!$B$7:$V$51,18,0)</f>
        <v>0</v>
      </c>
      <c r="AM16">
        <f>VLOOKUP($C16,'[27]TDA HT &amp; LT'!$B$7:$V$51,19,0)</f>
        <v>-468</v>
      </c>
      <c r="AN16">
        <f>VLOOKUP($C16,'[27]TDA HT &amp; LT'!$B$7:$V$51,20,0)</f>
        <v>234</v>
      </c>
      <c r="AO16" s="5">
        <f>VLOOKUP($C16,'[27]TDA HT &amp; LT'!$B$7:$V$51,21,0)</f>
        <v>234</v>
      </c>
      <c r="AP16" s="4">
        <f t="shared" si="0"/>
        <v>26577501.34</v>
      </c>
      <c r="AQ16">
        <f t="shared" si="0"/>
        <v>468</v>
      </c>
      <c r="AR16">
        <f t="shared" si="0"/>
        <v>2391742.02</v>
      </c>
      <c r="AS16" s="5">
        <f t="shared" si="0"/>
        <v>2391742.02</v>
      </c>
      <c r="AU16" s="18">
        <v>855164</v>
      </c>
      <c r="AV16" s="18"/>
      <c r="AW16" s="18">
        <v>21379.1</v>
      </c>
      <c r="AX16" s="18">
        <v>21379.1</v>
      </c>
    </row>
    <row r="17" spans="1:50">
      <c r="A17" s="22" t="s">
        <v>30</v>
      </c>
      <c r="B17">
        <v>2210</v>
      </c>
      <c r="C17" s="18">
        <v>435</v>
      </c>
      <c r="D17" s="18">
        <v>258306.59</v>
      </c>
      <c r="E17" s="18">
        <v>19242</v>
      </c>
      <c r="F17" s="18">
        <v>165931.11309999999</v>
      </c>
      <c r="G17" s="19">
        <v>165931.11309999999</v>
      </c>
      <c r="H17" s="20"/>
      <c r="I17" s="18"/>
      <c r="J17" s="18"/>
      <c r="K17" s="19"/>
      <c r="L17" s="20" t="s">
        <v>31</v>
      </c>
      <c r="M17" s="23">
        <v>-511884</v>
      </c>
      <c r="N17" s="23">
        <v>0</v>
      </c>
      <c r="O17" s="23">
        <v>-46069.56</v>
      </c>
      <c r="P17" s="24">
        <v>-46069.56</v>
      </c>
      <c r="Q17" s="20"/>
      <c r="R17" s="18"/>
      <c r="S17" s="18"/>
      <c r="T17" s="18"/>
      <c r="U17" s="19"/>
      <c r="V17">
        <f>VLOOKUP($C17,'[27]TDA HT &amp; LT'!$B$7:$V$51,2,0)</f>
        <v>23523928.340000007</v>
      </c>
      <c r="W17">
        <f>VLOOKUP($C17,'[27]TDA HT &amp; LT'!$B$7:$V$51,3,0)</f>
        <v>0</v>
      </c>
      <c r="X17">
        <f>VLOOKUP($C17,'[27]TDA HT &amp; LT'!$B$7:$V$51,4,0)</f>
        <v>2099345.6199999992</v>
      </c>
      <c r="Y17">
        <f>VLOOKUP($C17,'[27]TDA HT &amp; LT'!$B$7:$V$51,5,0)</f>
        <v>2099345.6199999992</v>
      </c>
      <c r="Z17" s="4">
        <f>VLOOKUP($C17,'[27]TDA HT &amp; LT'!$B$7:$V$51,6,0)</f>
        <v>267603.86</v>
      </c>
      <c r="AA17">
        <f>VLOOKUP($C17,'[27]TDA HT &amp; LT'!$B$7:$V$51,7,0)</f>
        <v>0</v>
      </c>
      <c r="AB17">
        <f>VLOOKUP($C17,'[27]TDA HT &amp; LT'!$B$7:$V$51,8,0)</f>
        <v>234</v>
      </c>
      <c r="AC17" s="5">
        <f>VLOOKUP($C17,'[27]TDA HT &amp; LT'!$B$7:$V$51,9,0)</f>
        <v>234</v>
      </c>
      <c r="AD17" s="4">
        <f>VLOOKUP($C17,'[27]TDA HT &amp; LT'!$B$7:$V$51,10,0)</f>
        <v>4927823.71</v>
      </c>
      <c r="AE17">
        <f>VLOOKUP($C17,'[27]TDA HT &amp; LT'!$B$7:$V$51,11,0)</f>
        <v>0</v>
      </c>
      <c r="AF17">
        <f>VLOOKUP($C17,'[27]TDA HT &amp; LT'!$B$7:$V$51,12,0)</f>
        <v>443504.12</v>
      </c>
      <c r="AG17" s="5">
        <f>VLOOKUP($C17,'[27]TDA HT &amp; LT'!$B$7:$V$51,13,0)</f>
        <v>443504.12</v>
      </c>
      <c r="AH17" s="4">
        <f>VLOOKUP($C17,'[27]TDA HT &amp; LT'!$B$7:$V$51,14,0)</f>
        <v>110100</v>
      </c>
      <c r="AI17">
        <f>VLOOKUP($C17,'[27]TDA HT &amp; LT'!$B$7:$V$51,15,0)</f>
        <v>0</v>
      </c>
      <c r="AJ17">
        <f>VLOOKUP($C17,'[27]TDA HT &amp; LT'!$B$7:$V$51,16,0)</f>
        <v>9908.9499999997206</v>
      </c>
      <c r="AK17" s="5">
        <f>VLOOKUP($C17,'[27]TDA HT &amp; LT'!$B$7:$V$51,17,0)</f>
        <v>9908.9499999997206</v>
      </c>
      <c r="AL17" s="4">
        <f>VLOOKUP($C17,'[27]TDA HT &amp; LT'!$B$7:$V$51,18,0)</f>
        <v>0</v>
      </c>
      <c r="AM17">
        <f>VLOOKUP($C17,'[27]TDA HT &amp; LT'!$B$7:$V$51,19,0)</f>
        <v>0</v>
      </c>
      <c r="AN17">
        <f>VLOOKUP($C17,'[27]TDA HT &amp; LT'!$B$7:$V$51,20,0)</f>
        <v>0</v>
      </c>
      <c r="AO17" s="5">
        <f>VLOOKUP($C17,'[27]TDA HT &amp; LT'!$B$7:$V$51,21,0)</f>
        <v>0</v>
      </c>
      <c r="AP17" s="4">
        <f t="shared" si="0"/>
        <v>28575878.500000007</v>
      </c>
      <c r="AQ17">
        <f t="shared" si="0"/>
        <v>19242</v>
      </c>
      <c r="AR17">
        <f t="shared" si="0"/>
        <v>2672854.2430999991</v>
      </c>
      <c r="AS17" s="5">
        <f t="shared" si="0"/>
        <v>2672854.2430999991</v>
      </c>
      <c r="AU17" s="18">
        <v>1365523.62</v>
      </c>
      <c r="AV17" s="18"/>
      <c r="AW17" s="18">
        <v>34137.897250000002</v>
      </c>
      <c r="AX17" s="18">
        <v>34137.897250000002</v>
      </c>
    </row>
    <row r="18" spans="1:50">
      <c r="A18" s="22" t="s">
        <v>32</v>
      </c>
      <c r="B18">
        <v>2208</v>
      </c>
      <c r="C18" s="18">
        <v>430</v>
      </c>
      <c r="D18" s="18">
        <v>314805</v>
      </c>
      <c r="E18" s="18">
        <v>8682.84</v>
      </c>
      <c r="F18" s="18">
        <v>23991.03</v>
      </c>
      <c r="G18" s="19">
        <v>23991.03</v>
      </c>
      <c r="H18" s="20"/>
      <c r="I18" s="18"/>
      <c r="J18" s="18"/>
      <c r="K18" s="19"/>
      <c r="L18" s="20"/>
      <c r="M18" s="18"/>
      <c r="N18" s="18"/>
      <c r="O18" s="18"/>
      <c r="P18" s="19"/>
      <c r="Q18" s="20"/>
      <c r="R18" s="18"/>
      <c r="S18" s="18"/>
      <c r="T18" s="18"/>
      <c r="U18" s="19"/>
      <c r="V18">
        <f>VLOOKUP($C18,'[27]TDA HT &amp; LT'!$B$7:$V$51,2,0)</f>
        <v>20021844.559999999</v>
      </c>
      <c r="W18">
        <f>VLOOKUP($C18,'[27]TDA HT &amp; LT'!$B$7:$V$51,3,0)</f>
        <v>11248.92</v>
      </c>
      <c r="X18">
        <f>VLOOKUP($C18,'[27]TDA HT &amp; LT'!$B$7:$V$51,4,0)</f>
        <v>1779077.4900000009</v>
      </c>
      <c r="Y18">
        <f>VLOOKUP($C18,'[27]TDA HT &amp; LT'!$B$7:$V$51,5,0)</f>
        <v>1779077.4900000009</v>
      </c>
      <c r="Z18" s="4">
        <f>VLOOKUP($C18,'[27]TDA HT &amp; LT'!$B$7:$V$51,6,0)</f>
        <v>2600</v>
      </c>
      <c r="AA18">
        <f>VLOOKUP($C18,'[27]TDA HT &amp; LT'!$B$7:$V$51,7,0)</f>
        <v>0</v>
      </c>
      <c r="AB18">
        <f>VLOOKUP($C18,'[27]TDA HT &amp; LT'!$B$7:$V$51,8,0)</f>
        <v>234</v>
      </c>
      <c r="AC18" s="5">
        <f>VLOOKUP($C18,'[27]TDA HT &amp; LT'!$B$7:$V$51,9,0)</f>
        <v>234</v>
      </c>
      <c r="AD18" s="4">
        <f>VLOOKUP($C18,'[27]TDA HT &amp; LT'!$B$7:$V$51,10,0)</f>
        <v>4763426.5999999996</v>
      </c>
      <c r="AE18">
        <f>VLOOKUP($C18,'[27]TDA HT &amp; LT'!$B$7:$V$51,11,0)</f>
        <v>0</v>
      </c>
      <c r="AF18">
        <f>VLOOKUP($C18,'[27]TDA HT &amp; LT'!$B$7:$V$51,12,0)</f>
        <v>428708.39</v>
      </c>
      <c r="AG18" s="5">
        <f>VLOOKUP($C18,'[27]TDA HT &amp; LT'!$B$7:$V$51,13,0)</f>
        <v>428708.39</v>
      </c>
      <c r="AH18" s="4">
        <f>VLOOKUP($C18,'[27]TDA HT &amp; LT'!$B$7:$V$51,14,0)</f>
        <v>0</v>
      </c>
      <c r="AI18">
        <f>VLOOKUP($C18,'[27]TDA HT &amp; LT'!$B$7:$V$51,15,0)</f>
        <v>0</v>
      </c>
      <c r="AJ18">
        <f>VLOOKUP($C18,'[27]TDA HT &amp; LT'!$B$7:$V$51,16,0)</f>
        <v>0</v>
      </c>
      <c r="AK18" s="5">
        <f>VLOOKUP($C18,'[27]TDA HT &amp; LT'!$B$7:$V$51,17,0)</f>
        <v>0</v>
      </c>
      <c r="AL18" s="4">
        <f>VLOOKUP($C18,'[27]TDA HT &amp; LT'!$B$7:$V$51,18,0)</f>
        <v>0</v>
      </c>
      <c r="AM18">
        <f>VLOOKUP($C18,'[27]TDA HT &amp; LT'!$B$7:$V$51,19,0)</f>
        <v>0</v>
      </c>
      <c r="AN18">
        <f>VLOOKUP($C18,'[27]TDA HT &amp; LT'!$B$7:$V$51,20,0)</f>
        <v>0</v>
      </c>
      <c r="AO18" s="5">
        <f>VLOOKUP($C18,'[27]TDA HT &amp; LT'!$B$7:$V$51,21,0)</f>
        <v>0</v>
      </c>
      <c r="AP18" s="4">
        <f t="shared" si="0"/>
        <v>25102676.159999996</v>
      </c>
      <c r="AQ18">
        <f t="shared" si="0"/>
        <v>19931.760000000002</v>
      </c>
      <c r="AR18">
        <f t="shared" si="0"/>
        <v>2232010.9100000011</v>
      </c>
      <c r="AS18" s="5">
        <f t="shared" si="0"/>
        <v>2232010.9100000011</v>
      </c>
      <c r="AU18" s="18">
        <v>320070.23000000004</v>
      </c>
      <c r="AV18" s="18"/>
      <c r="AW18" s="18">
        <v>8001.7557500000003</v>
      </c>
      <c r="AX18" s="18">
        <v>8001.7557500000003</v>
      </c>
    </row>
    <row r="19" spans="1:50">
      <c r="A19" s="22" t="s">
        <v>33</v>
      </c>
      <c r="B19">
        <v>2209</v>
      </c>
      <c r="C19" s="18">
        <v>432</v>
      </c>
      <c r="D19" s="18">
        <v>155923.03999999998</v>
      </c>
      <c r="E19" s="18">
        <v>0</v>
      </c>
      <c r="F19" s="18">
        <v>14033.08</v>
      </c>
      <c r="G19" s="19">
        <v>14033.08</v>
      </c>
      <c r="H19" s="20"/>
      <c r="I19" s="18"/>
      <c r="J19" s="18"/>
      <c r="K19" s="19"/>
      <c r="L19" t="s">
        <v>34</v>
      </c>
      <c r="M19" s="18">
        <v>0</v>
      </c>
      <c r="N19" s="23">
        <v>-946.40000000000009</v>
      </c>
      <c r="O19" s="23">
        <v>0</v>
      </c>
      <c r="P19" s="24">
        <v>0</v>
      </c>
      <c r="R19" s="18"/>
      <c r="S19" s="18"/>
      <c r="T19" s="18"/>
      <c r="U19" s="19"/>
      <c r="V19">
        <f>VLOOKUP($C19,'[27]TDA HT &amp; LT'!$B$7:$V$51,2,0)</f>
        <v>45074738.830000013</v>
      </c>
      <c r="W19">
        <f>VLOOKUP($C19,'[27]TDA HT &amp; LT'!$B$7:$V$51,3,0)</f>
        <v>540</v>
      </c>
      <c r="X19">
        <f>VLOOKUP($C19,'[27]TDA HT &amp; LT'!$B$7:$V$51,4,0)</f>
        <v>4056226.6400000034</v>
      </c>
      <c r="Y19">
        <f>VLOOKUP($C19,'[27]TDA HT &amp; LT'!$B$7:$V$51,5,0)</f>
        <v>4056226.6400000034</v>
      </c>
      <c r="Z19" s="4">
        <f>VLOOKUP($C19,'[27]TDA HT &amp; LT'!$B$7:$V$51,6,0)</f>
        <v>396224.91000000003</v>
      </c>
      <c r="AA19">
        <f>VLOOKUP($C19,'[27]TDA HT &amp; LT'!$B$7:$V$51,7,0)</f>
        <v>0</v>
      </c>
      <c r="AB19">
        <f>VLOOKUP($C19,'[27]TDA HT &amp; LT'!$B$7:$V$51,8,0)</f>
        <v>35193.03</v>
      </c>
      <c r="AC19" s="5">
        <f>VLOOKUP($C19,'[27]TDA HT &amp; LT'!$B$7:$V$51,9,0)</f>
        <v>35193.03</v>
      </c>
      <c r="AD19" s="4">
        <f>VLOOKUP($C19,'[27]TDA HT &amp; LT'!$B$7:$V$51,10,0)</f>
        <v>3815329.38</v>
      </c>
      <c r="AE19">
        <f>VLOOKUP($C19,'[27]TDA HT &amp; LT'!$B$7:$V$51,11,0)</f>
        <v>0</v>
      </c>
      <c r="AF19">
        <f>VLOOKUP($C19,'[27]TDA HT &amp; LT'!$B$7:$V$51,12,0)</f>
        <v>343379.63999999996</v>
      </c>
      <c r="AG19" s="5">
        <f>VLOOKUP($C19,'[27]TDA HT &amp; LT'!$B$7:$V$51,13,0)</f>
        <v>343379.63999999996</v>
      </c>
      <c r="AH19" s="4">
        <f>VLOOKUP($C19,'[27]TDA HT &amp; LT'!$B$7:$V$51,14,0)</f>
        <v>15600.000000007451</v>
      </c>
      <c r="AI19">
        <f>VLOOKUP($C19,'[27]TDA HT &amp; LT'!$B$7:$V$51,15,0)</f>
        <v>468</v>
      </c>
      <c r="AJ19">
        <f>VLOOKUP($C19,'[27]TDA HT &amp; LT'!$B$7:$V$51,16,0)</f>
        <v>1170.0000000009313</v>
      </c>
      <c r="AK19" s="5">
        <f>VLOOKUP($C19,'[27]TDA HT &amp; LT'!$B$7:$V$51,17,0)</f>
        <v>1170.0000000009313</v>
      </c>
      <c r="AL19" s="4">
        <f>VLOOKUP($C19,'[27]TDA HT &amp; LT'!$B$7:$V$51,18,0)</f>
        <v>0</v>
      </c>
      <c r="AM19">
        <f>VLOOKUP($C19,'[27]TDA HT &amp; LT'!$B$7:$V$51,19,0)</f>
        <v>0</v>
      </c>
      <c r="AN19">
        <f>VLOOKUP($C19,'[27]TDA HT &amp; LT'!$B$7:$V$51,20,0)</f>
        <v>0</v>
      </c>
      <c r="AO19" s="5">
        <f>VLOOKUP($C19,'[27]TDA HT &amp; LT'!$B$7:$V$51,21,0)</f>
        <v>0</v>
      </c>
      <c r="AP19" s="4">
        <f t="shared" si="0"/>
        <v>49457816.160000019</v>
      </c>
      <c r="AQ19">
        <f t="shared" si="0"/>
        <v>61.599999999999909</v>
      </c>
      <c r="AR19">
        <f t="shared" si="0"/>
        <v>4450002.3900000043</v>
      </c>
      <c r="AS19" s="5">
        <f t="shared" si="0"/>
        <v>4450002.3900000043</v>
      </c>
      <c r="AU19" s="18">
        <v>274141</v>
      </c>
      <c r="AV19" s="18"/>
      <c r="AW19" s="18">
        <v>6854.1</v>
      </c>
      <c r="AX19" s="18">
        <v>6854.1</v>
      </c>
    </row>
    <row r="20" spans="1:50">
      <c r="A20" s="22" t="s">
        <v>35</v>
      </c>
      <c r="B20">
        <v>2244</v>
      </c>
      <c r="C20" s="18">
        <v>418</v>
      </c>
      <c r="D20" s="18">
        <v>21370</v>
      </c>
      <c r="E20" s="18">
        <v>1414.62</v>
      </c>
      <c r="F20" s="18">
        <v>1215.99</v>
      </c>
      <c r="G20" s="19">
        <v>1215.99</v>
      </c>
      <c r="H20" s="20"/>
      <c r="I20" s="18"/>
      <c r="J20" s="18"/>
      <c r="K20" s="19"/>
      <c r="L20" s="20"/>
      <c r="M20" s="18"/>
      <c r="N20" s="18"/>
      <c r="O20" s="18"/>
      <c r="P20" s="19"/>
      <c r="Q20" s="20"/>
      <c r="R20" s="18"/>
      <c r="S20" s="18"/>
      <c r="T20" s="18"/>
      <c r="U20" s="19"/>
      <c r="V20">
        <f>VLOOKUP($C20,'[27]TDA HT &amp; LT'!$B$7:$V$51,2,0)</f>
        <v>9187832.2399999984</v>
      </c>
      <c r="W20">
        <f>VLOOKUP($C20,'[27]TDA HT &amp; LT'!$B$7:$V$51,3,0)</f>
        <v>0</v>
      </c>
      <c r="X20">
        <f>VLOOKUP($C20,'[27]TDA HT &amp; LT'!$B$7:$V$51,4,0)</f>
        <v>826671.58000000007</v>
      </c>
      <c r="Y20">
        <f>VLOOKUP($C20,'[27]TDA HT &amp; LT'!$B$7:$V$51,5,0)</f>
        <v>826671.58000000007</v>
      </c>
      <c r="Z20" s="4">
        <f>VLOOKUP($C20,'[27]TDA HT &amp; LT'!$B$7:$V$51,6,0)</f>
        <v>0</v>
      </c>
      <c r="AA20">
        <f>VLOOKUP($C20,'[27]TDA HT &amp; LT'!$B$7:$V$51,7,0)</f>
        <v>0</v>
      </c>
      <c r="AB20">
        <f>VLOOKUP($C20,'[27]TDA HT &amp; LT'!$B$7:$V$51,8,0)</f>
        <v>0</v>
      </c>
      <c r="AC20" s="5">
        <f>VLOOKUP($C20,'[27]TDA HT &amp; LT'!$B$7:$V$51,9,0)</f>
        <v>0</v>
      </c>
      <c r="AD20" s="4">
        <f>VLOOKUP($C20,'[27]TDA HT &amp; LT'!$B$7:$V$51,10,0)</f>
        <v>5292437.82</v>
      </c>
      <c r="AE20">
        <f>VLOOKUP($C20,'[27]TDA HT &amp; LT'!$B$7:$V$51,11,0)</f>
        <v>0</v>
      </c>
      <c r="AF20">
        <f>VLOOKUP($C20,'[27]TDA HT &amp; LT'!$B$7:$V$51,12,0)</f>
        <v>476319.4</v>
      </c>
      <c r="AG20" s="5">
        <f>VLOOKUP($C20,'[27]TDA HT &amp; LT'!$B$7:$V$51,13,0)</f>
        <v>476319.4</v>
      </c>
      <c r="AH20" s="4">
        <f>VLOOKUP($C20,'[27]TDA HT &amp; LT'!$B$7:$V$51,14,0)</f>
        <v>2504.6699999980628</v>
      </c>
      <c r="AI20">
        <f>VLOOKUP($C20,'[27]TDA HT &amp; LT'!$B$7:$V$51,15,0)</f>
        <v>0</v>
      </c>
      <c r="AJ20">
        <f>VLOOKUP($C20,'[27]TDA HT &amp; LT'!$B$7:$V$51,16,0)</f>
        <v>225.42030000011437</v>
      </c>
      <c r="AK20" s="5">
        <f>VLOOKUP($C20,'[27]TDA HT &amp; LT'!$B$7:$V$51,17,0)</f>
        <v>225.42030000011437</v>
      </c>
      <c r="AL20" s="4">
        <f>VLOOKUP($C20,'[27]TDA HT &amp; LT'!$B$7:$V$51,18,0)</f>
        <v>0</v>
      </c>
      <c r="AM20">
        <f>VLOOKUP($C20,'[27]TDA HT &amp; LT'!$B$7:$V$51,19,0)</f>
        <v>0</v>
      </c>
      <c r="AN20">
        <f>VLOOKUP($C20,'[27]TDA HT &amp; LT'!$B$7:$V$51,20,0)</f>
        <v>0</v>
      </c>
      <c r="AO20" s="5">
        <f>VLOOKUP($C20,'[27]TDA HT &amp; LT'!$B$7:$V$51,21,0)</f>
        <v>0</v>
      </c>
      <c r="AP20" s="4">
        <f t="shared" si="0"/>
        <v>14504144.729999997</v>
      </c>
      <c r="AQ20">
        <f t="shared" si="0"/>
        <v>1414.62</v>
      </c>
      <c r="AR20">
        <f t="shared" si="0"/>
        <v>1304432.3903000003</v>
      </c>
      <c r="AS20" s="5">
        <f t="shared" si="0"/>
        <v>1304432.3903000003</v>
      </c>
      <c r="AU20" s="18">
        <v>64119</v>
      </c>
      <c r="AV20" s="18"/>
      <c r="AW20" s="18">
        <v>1603</v>
      </c>
      <c r="AX20" s="18">
        <v>1603</v>
      </c>
    </row>
    <row r="21" spans="1:50">
      <c r="A21" s="22" t="s">
        <v>36</v>
      </c>
      <c r="B21">
        <v>2237</v>
      </c>
      <c r="C21" s="18">
        <v>420</v>
      </c>
      <c r="D21" s="18">
        <v>647877</v>
      </c>
      <c r="E21" s="18">
        <v>30659.4</v>
      </c>
      <c r="F21" s="18">
        <v>42979.19</v>
      </c>
      <c r="G21" s="19">
        <v>42979.19</v>
      </c>
      <c r="H21" s="20"/>
      <c r="I21" s="18"/>
      <c r="J21" s="18"/>
      <c r="K21" s="19"/>
      <c r="L21" s="20"/>
      <c r="M21" s="18"/>
      <c r="N21" s="18"/>
      <c r="O21" s="18"/>
      <c r="P21" s="19"/>
      <c r="Q21" s="20"/>
      <c r="R21" s="18"/>
      <c r="S21" s="18"/>
      <c r="T21" s="18"/>
      <c r="U21" s="19"/>
      <c r="V21">
        <f>VLOOKUP($C21,'[27]TDA HT &amp; LT'!$B$7:$V$51,2,0)</f>
        <v>4805825.6900000004</v>
      </c>
      <c r="W21">
        <f>VLOOKUP($C21,'[27]TDA HT &amp; LT'!$B$7:$V$51,3,0)</f>
        <v>0</v>
      </c>
      <c r="X21">
        <f>VLOOKUP($C21,'[27]TDA HT &amp; LT'!$B$7:$V$51,4,0)</f>
        <v>432524.39999999997</v>
      </c>
      <c r="Y21">
        <f>VLOOKUP($C21,'[27]TDA HT &amp; LT'!$B$7:$V$51,5,0)</f>
        <v>432524.39999999997</v>
      </c>
      <c r="Z21" s="4">
        <f>VLOOKUP($C21,'[27]TDA HT &amp; LT'!$B$7:$V$51,6,0)</f>
        <v>0</v>
      </c>
      <c r="AA21">
        <f>VLOOKUP($C21,'[27]TDA HT &amp; LT'!$B$7:$V$51,7,0)</f>
        <v>0</v>
      </c>
      <c r="AB21">
        <f>VLOOKUP($C21,'[27]TDA HT &amp; LT'!$B$7:$V$51,8,0)</f>
        <v>0</v>
      </c>
      <c r="AC21" s="5">
        <f>VLOOKUP($C21,'[27]TDA HT &amp; LT'!$B$7:$V$51,9,0)</f>
        <v>0</v>
      </c>
      <c r="AD21" s="4">
        <f>VLOOKUP($C21,'[27]TDA HT &amp; LT'!$B$7:$V$51,10,0)</f>
        <v>3264347.12</v>
      </c>
      <c r="AE21">
        <f>VLOOKUP($C21,'[27]TDA HT &amp; LT'!$B$7:$V$51,11,0)</f>
        <v>0</v>
      </c>
      <c r="AF21">
        <f>VLOOKUP($C21,'[27]TDA HT &amp; LT'!$B$7:$V$51,12,0)</f>
        <v>293786.74</v>
      </c>
      <c r="AG21" s="5">
        <f>VLOOKUP($C21,'[27]TDA HT &amp; LT'!$B$7:$V$51,13,0)</f>
        <v>293786.74</v>
      </c>
      <c r="AH21" s="4">
        <f>VLOOKUP($C21,'[27]TDA HT &amp; LT'!$B$7:$V$51,14,0)</f>
        <v>0</v>
      </c>
      <c r="AI21">
        <f>VLOOKUP($C21,'[27]TDA HT &amp; LT'!$B$7:$V$51,15,0)</f>
        <v>0</v>
      </c>
      <c r="AJ21">
        <f>VLOOKUP($C21,'[27]TDA HT &amp; LT'!$B$7:$V$51,16,0)</f>
        <v>0</v>
      </c>
      <c r="AK21" s="5">
        <f>VLOOKUP($C21,'[27]TDA HT &amp; LT'!$B$7:$V$51,17,0)</f>
        <v>0</v>
      </c>
      <c r="AL21" s="4">
        <f>VLOOKUP($C21,'[27]TDA HT &amp; LT'!$B$7:$V$51,18,0)</f>
        <v>0</v>
      </c>
      <c r="AM21">
        <f>VLOOKUP($C21,'[27]TDA HT &amp; LT'!$B$7:$V$51,19,0)</f>
        <v>0</v>
      </c>
      <c r="AN21">
        <f>VLOOKUP($C21,'[27]TDA HT &amp; LT'!$B$7:$V$51,20,0)</f>
        <v>0</v>
      </c>
      <c r="AO21" s="5">
        <f>VLOOKUP($C21,'[27]TDA HT &amp; LT'!$B$7:$V$51,21,0)</f>
        <v>0</v>
      </c>
      <c r="AP21" s="4">
        <f t="shared" si="0"/>
        <v>8718049.8100000005</v>
      </c>
      <c r="AQ21">
        <f t="shared" si="0"/>
        <v>30659.4</v>
      </c>
      <c r="AR21">
        <f t="shared" si="0"/>
        <v>769290.33</v>
      </c>
      <c r="AS21" s="5">
        <f t="shared" si="0"/>
        <v>769290.33</v>
      </c>
      <c r="AU21" s="18">
        <v>179685</v>
      </c>
      <c r="AV21" s="18"/>
      <c r="AW21" s="18">
        <v>4492.125</v>
      </c>
      <c r="AX21" s="18">
        <v>4492.125</v>
      </c>
    </row>
    <row r="22" spans="1:50">
      <c r="A22" s="22" t="s">
        <v>37</v>
      </c>
      <c r="B22">
        <v>2222</v>
      </c>
      <c r="C22" s="18">
        <v>450</v>
      </c>
      <c r="D22" s="18">
        <v>5046647.5600000005</v>
      </c>
      <c r="E22" s="18"/>
      <c r="F22" s="18">
        <v>454198.28</v>
      </c>
      <c r="G22" s="19">
        <v>454198.28</v>
      </c>
      <c r="H22" s="20"/>
      <c r="I22" s="18"/>
      <c r="J22" s="18"/>
      <c r="K22" s="19"/>
      <c r="L22" s="20"/>
      <c r="M22" s="18"/>
      <c r="N22" s="18"/>
      <c r="O22" s="18"/>
      <c r="P22" s="19"/>
      <c r="Q22" s="20"/>
      <c r="R22" s="18"/>
      <c r="S22" s="18"/>
      <c r="T22" s="18"/>
      <c r="U22" s="19"/>
      <c r="V22">
        <f>VLOOKUP($C22,'[27]TDA HT &amp; LT'!$B$7:$V$51,2,0)</f>
        <v>60696562.5</v>
      </c>
      <c r="W22">
        <f>VLOOKUP($C22,'[27]TDA HT &amp; LT'!$B$7:$V$51,3,0)</f>
        <v>0</v>
      </c>
      <c r="X22">
        <f>VLOOKUP($C22,'[27]TDA HT &amp; LT'!$B$7:$V$51,4,0)</f>
        <v>5462692.509999997</v>
      </c>
      <c r="Y22">
        <f>VLOOKUP($C22,'[27]TDA HT &amp; LT'!$B$7:$V$51,5,0)</f>
        <v>5462692.509999997</v>
      </c>
      <c r="Z22" s="4">
        <f>VLOOKUP($C22,'[27]TDA HT &amp; LT'!$B$7:$V$51,6,0)</f>
        <v>2600</v>
      </c>
      <c r="AA22">
        <f>VLOOKUP($C22,'[27]TDA HT &amp; LT'!$B$7:$V$51,7,0)</f>
        <v>0</v>
      </c>
      <c r="AB22">
        <f>VLOOKUP($C22,'[27]TDA HT &amp; LT'!$B$7:$V$51,8,0)</f>
        <v>234</v>
      </c>
      <c r="AC22" s="5">
        <f>VLOOKUP($C22,'[27]TDA HT &amp; LT'!$B$7:$V$51,9,0)</f>
        <v>234</v>
      </c>
      <c r="AD22" s="4">
        <f>VLOOKUP($C22,'[27]TDA HT &amp; LT'!$B$7:$V$51,10,0)</f>
        <v>4971430.62</v>
      </c>
      <c r="AE22">
        <f>VLOOKUP($C22,'[27]TDA HT &amp; LT'!$B$7:$V$51,11,0)</f>
        <v>0</v>
      </c>
      <c r="AF22">
        <f>VLOOKUP($C22,'[27]TDA HT &amp; LT'!$B$7:$V$51,12,0)</f>
        <v>447428.75999999995</v>
      </c>
      <c r="AG22" s="5">
        <f>VLOOKUP($C22,'[27]TDA HT &amp; LT'!$B$7:$V$51,13,0)</f>
        <v>447428.75999999995</v>
      </c>
      <c r="AH22" s="4">
        <f>VLOOKUP($C22,'[27]TDA HT &amp; LT'!$B$7:$V$51,14,0)</f>
        <v>0</v>
      </c>
      <c r="AI22">
        <f>VLOOKUP($C22,'[27]TDA HT &amp; LT'!$B$7:$V$51,15,0)</f>
        <v>0</v>
      </c>
      <c r="AJ22">
        <f>VLOOKUP($C22,'[27]TDA HT &amp; LT'!$B$7:$V$51,16,0)</f>
        <v>0</v>
      </c>
      <c r="AK22" s="5">
        <f>VLOOKUP($C22,'[27]TDA HT &amp; LT'!$B$7:$V$51,17,0)</f>
        <v>0</v>
      </c>
      <c r="AL22" s="4">
        <f>VLOOKUP($C22,'[27]TDA HT &amp; LT'!$B$7:$V$51,18,0)</f>
        <v>0</v>
      </c>
      <c r="AM22">
        <f>VLOOKUP($C22,'[27]TDA HT &amp; LT'!$B$7:$V$51,19,0)</f>
        <v>0</v>
      </c>
      <c r="AN22">
        <f>VLOOKUP($C22,'[27]TDA HT &amp; LT'!$B$7:$V$51,20,0)</f>
        <v>0</v>
      </c>
      <c r="AO22" s="5">
        <f>VLOOKUP($C22,'[27]TDA HT &amp; LT'!$B$7:$V$51,21,0)</f>
        <v>0</v>
      </c>
      <c r="AP22" s="4">
        <f t="shared" si="0"/>
        <v>70717240.680000007</v>
      </c>
      <c r="AQ22">
        <f t="shared" si="0"/>
        <v>0</v>
      </c>
      <c r="AR22">
        <f t="shared" si="0"/>
        <v>6364553.549999997</v>
      </c>
      <c r="AS22" s="5">
        <f t="shared" si="0"/>
        <v>6364553.549999997</v>
      </c>
      <c r="AU22" s="18">
        <v>481158</v>
      </c>
      <c r="AV22" s="18"/>
      <c r="AW22" s="18">
        <v>12028.950000000003</v>
      </c>
      <c r="AX22" s="18">
        <v>12028.950000000003</v>
      </c>
    </row>
    <row r="23" spans="1:50">
      <c r="A23" s="22" t="s">
        <v>38</v>
      </c>
      <c r="B23">
        <v>2101</v>
      </c>
      <c r="C23" s="25">
        <v>999</v>
      </c>
      <c r="D23" s="18">
        <v>70840</v>
      </c>
      <c r="E23" s="18"/>
      <c r="F23" s="18">
        <v>6375.6</v>
      </c>
      <c r="G23" s="19">
        <v>6375.6</v>
      </c>
      <c r="H23" s="20"/>
      <c r="I23" s="18"/>
      <c r="J23" s="18"/>
      <c r="K23" s="19"/>
      <c r="L23" s="20"/>
      <c r="M23" s="18"/>
      <c r="N23" s="18"/>
      <c r="O23" s="18"/>
      <c r="P23" s="19"/>
      <c r="Q23" s="20"/>
      <c r="R23" s="18"/>
      <c r="S23" s="18"/>
      <c r="T23" s="18"/>
      <c r="U23" s="19"/>
      <c r="Z23" s="4"/>
      <c r="AC23" s="5"/>
      <c r="AD23" s="4"/>
      <c r="AG23" s="5"/>
      <c r="AH23" s="4"/>
      <c r="AK23" s="5"/>
      <c r="AL23" s="4"/>
      <c r="AO23" s="5"/>
      <c r="AP23" s="4">
        <f t="shared" si="0"/>
        <v>70840</v>
      </c>
      <c r="AQ23">
        <f t="shared" si="0"/>
        <v>0</v>
      </c>
      <c r="AR23">
        <f t="shared" si="0"/>
        <v>6375.6</v>
      </c>
      <c r="AS23" s="5">
        <f t="shared" si="0"/>
        <v>6375.6</v>
      </c>
      <c r="AU23" s="18"/>
      <c r="AV23" s="18"/>
      <c r="AW23" s="18"/>
      <c r="AX23" s="18"/>
    </row>
    <row r="24" spans="1:50">
      <c r="A24" s="22" t="s">
        <v>39</v>
      </c>
      <c r="B24">
        <v>2409</v>
      </c>
      <c r="C24" s="18">
        <v>830</v>
      </c>
      <c r="D24" s="18">
        <v>624570</v>
      </c>
      <c r="E24" s="18">
        <v>0</v>
      </c>
      <c r="F24" s="18">
        <v>0</v>
      </c>
      <c r="G24" s="19">
        <v>0</v>
      </c>
      <c r="H24" s="20"/>
      <c r="I24" s="18"/>
      <c r="J24" s="18"/>
      <c r="K24" s="19"/>
      <c r="L24" s="20"/>
      <c r="M24" s="18"/>
      <c r="N24" s="18"/>
      <c r="O24" s="18"/>
      <c r="P24" s="19"/>
      <c r="Q24" s="20"/>
      <c r="R24" s="18"/>
      <c r="S24" s="18"/>
      <c r="T24" s="18"/>
      <c r="U24" s="19"/>
      <c r="Z24" s="4"/>
      <c r="AC24" s="5"/>
      <c r="AD24" s="4"/>
      <c r="AG24" s="5"/>
      <c r="AH24" s="4"/>
      <c r="AK24" s="5"/>
      <c r="AL24" s="4"/>
      <c r="AO24" s="5"/>
      <c r="AP24" s="4">
        <f t="shared" si="0"/>
        <v>624570</v>
      </c>
      <c r="AQ24">
        <f t="shared" si="0"/>
        <v>0</v>
      </c>
      <c r="AR24">
        <f t="shared" si="0"/>
        <v>0</v>
      </c>
      <c r="AS24" s="5">
        <f t="shared" si="0"/>
        <v>0</v>
      </c>
      <c r="AU24" s="18">
        <v>327337</v>
      </c>
      <c r="AV24" s="18"/>
      <c r="AW24" s="18">
        <v>8184</v>
      </c>
      <c r="AX24" s="18">
        <v>8184</v>
      </c>
    </row>
    <row r="25" spans="1:50">
      <c r="A25" s="22" t="s">
        <v>40</v>
      </c>
      <c r="B25">
        <v>2215</v>
      </c>
      <c r="C25" s="18">
        <v>426</v>
      </c>
      <c r="D25" s="18">
        <v>3290495.3300000005</v>
      </c>
      <c r="E25" s="18">
        <v>92256.35</v>
      </c>
      <c r="F25" s="18">
        <v>249496.39</v>
      </c>
      <c r="G25" s="19">
        <v>249496.39</v>
      </c>
      <c r="H25" s="20"/>
      <c r="I25" s="18"/>
      <c r="J25" s="18"/>
      <c r="K25" s="19"/>
      <c r="L25" s="20"/>
      <c r="M25" s="18"/>
      <c r="N25" s="18"/>
      <c r="O25" s="18"/>
      <c r="P25" s="19"/>
      <c r="Q25" s="20"/>
      <c r="R25" s="18"/>
      <c r="S25" s="18"/>
      <c r="T25" s="18"/>
      <c r="U25" s="19"/>
      <c r="V25">
        <f>VLOOKUP($C25,'[27]TDA HT &amp; LT'!$B$7:$V$51,2,0)</f>
        <v>32939516.279999997</v>
      </c>
      <c r="W25">
        <f>VLOOKUP($C25,'[27]TDA HT &amp; LT'!$B$7:$V$51,3,0)</f>
        <v>0</v>
      </c>
      <c r="X25">
        <f>VLOOKUP($C25,'[27]TDA HT &amp; LT'!$B$7:$V$51,4,0)</f>
        <v>2926437.5299999989</v>
      </c>
      <c r="Y25">
        <f>VLOOKUP($C25,'[27]TDA HT &amp; LT'!$B$7:$V$51,5,0)</f>
        <v>2926437.5299999989</v>
      </c>
      <c r="Z25" s="4">
        <f>VLOOKUP($C25,'[27]TDA HT &amp; LT'!$B$7:$V$51,6,0)</f>
        <v>0</v>
      </c>
      <c r="AA25">
        <f>VLOOKUP($C25,'[27]TDA HT &amp; LT'!$B$7:$V$51,7,0)</f>
        <v>0</v>
      </c>
      <c r="AB25">
        <f>VLOOKUP($C25,'[27]TDA HT &amp; LT'!$B$7:$V$51,8,0)</f>
        <v>0</v>
      </c>
      <c r="AC25" s="5">
        <f>VLOOKUP($C25,'[27]TDA HT &amp; LT'!$B$7:$V$51,9,0)</f>
        <v>0</v>
      </c>
      <c r="AD25" s="4">
        <f>VLOOKUP($C25,'[27]TDA HT &amp; LT'!$B$7:$V$51,10,0)</f>
        <v>4331051.84</v>
      </c>
      <c r="AE25">
        <f>VLOOKUP($C25,'[27]TDA HT &amp; LT'!$B$7:$V$51,11,0)</f>
        <v>0</v>
      </c>
      <c r="AF25">
        <f>VLOOKUP($C25,'[27]TDA HT &amp; LT'!$B$7:$V$51,12,0)</f>
        <v>389794.68</v>
      </c>
      <c r="AG25" s="5">
        <f>VLOOKUP($C25,'[27]TDA HT &amp; LT'!$B$7:$V$51,13,0)</f>
        <v>389794.68</v>
      </c>
      <c r="AH25" s="4">
        <f>VLOOKUP($C25,'[27]TDA HT &amp; LT'!$B$7:$V$51,14,0)</f>
        <v>0</v>
      </c>
      <c r="AI25">
        <f>VLOOKUP($C25,'[27]TDA HT &amp; LT'!$B$7:$V$51,15,0)</f>
        <v>0</v>
      </c>
      <c r="AJ25">
        <f>VLOOKUP($C25,'[27]TDA HT &amp; LT'!$B$7:$V$51,16,0)</f>
        <v>0</v>
      </c>
      <c r="AK25" s="5">
        <f>VLOOKUP($C25,'[27]TDA HT &amp; LT'!$B$7:$V$51,17,0)</f>
        <v>0</v>
      </c>
      <c r="AL25" s="4">
        <f>VLOOKUP($C25,'[27]TDA HT &amp; LT'!$B$7:$V$51,18,0)</f>
        <v>0</v>
      </c>
      <c r="AM25">
        <f>VLOOKUP($C25,'[27]TDA HT &amp; LT'!$B$7:$V$51,19,0)</f>
        <v>0</v>
      </c>
      <c r="AN25">
        <f>VLOOKUP($C25,'[27]TDA HT &amp; LT'!$B$7:$V$51,20,0)</f>
        <v>0</v>
      </c>
      <c r="AO25" s="5">
        <f>VLOOKUP($C25,'[27]TDA HT &amp; LT'!$B$7:$V$51,21,0)</f>
        <v>0</v>
      </c>
      <c r="AP25" s="4">
        <f t="shared" si="0"/>
        <v>40561063.450000003</v>
      </c>
      <c r="AQ25">
        <f t="shared" si="0"/>
        <v>92256.35</v>
      </c>
      <c r="AR25">
        <f t="shared" si="0"/>
        <v>3565728.5999999992</v>
      </c>
      <c r="AS25" s="5">
        <f t="shared" si="0"/>
        <v>3565728.5999999992</v>
      </c>
      <c r="AU25" s="18">
        <v>311850.17</v>
      </c>
      <c r="AV25" s="18"/>
      <c r="AW25" s="18">
        <v>7796.25425</v>
      </c>
      <c r="AX25" s="18">
        <v>7796.25425</v>
      </c>
    </row>
    <row r="26" spans="1:50">
      <c r="A26" s="22" t="s">
        <v>41</v>
      </c>
      <c r="B26">
        <v>2301</v>
      </c>
      <c r="C26" s="18">
        <v>200</v>
      </c>
      <c r="D26" s="18">
        <v>122525</v>
      </c>
      <c r="E26" s="18">
        <v>72</v>
      </c>
      <c r="F26" s="18">
        <v>10991.699999999999</v>
      </c>
      <c r="G26" s="19">
        <v>10991.699999999999</v>
      </c>
      <c r="H26" s="20"/>
      <c r="I26" s="18"/>
      <c r="J26" s="18"/>
      <c r="K26" s="19"/>
      <c r="L26" s="20"/>
      <c r="M26" s="18"/>
      <c r="N26" s="18"/>
      <c r="O26" s="18"/>
      <c r="P26" s="19"/>
      <c r="Q26" s="20"/>
      <c r="R26" s="18"/>
      <c r="S26" s="18"/>
      <c r="T26" s="18"/>
      <c r="U26" s="19"/>
      <c r="Z26" s="4"/>
      <c r="AC26" s="5"/>
      <c r="AD26" s="4"/>
      <c r="AG26" s="5"/>
      <c r="AH26" s="4"/>
      <c r="AK26" s="5"/>
      <c r="AL26" s="4"/>
      <c r="AO26" s="5"/>
      <c r="AP26" s="4">
        <f t="shared" si="0"/>
        <v>122525</v>
      </c>
      <c r="AQ26">
        <f t="shared" si="0"/>
        <v>72</v>
      </c>
      <c r="AR26">
        <f t="shared" si="0"/>
        <v>10991.699999999999</v>
      </c>
      <c r="AS26" s="5">
        <f t="shared" si="0"/>
        <v>10991.699999999999</v>
      </c>
      <c r="AU26" s="18">
        <v>124840</v>
      </c>
      <c r="AV26" s="18"/>
      <c r="AW26" s="18">
        <v>3121</v>
      </c>
      <c r="AX26" s="18">
        <v>3121</v>
      </c>
    </row>
    <row r="27" spans="1:50">
      <c r="A27" s="22" t="s">
        <v>42</v>
      </c>
      <c r="B27">
        <v>2304</v>
      </c>
      <c r="C27" s="18">
        <v>230</v>
      </c>
      <c r="D27" s="18">
        <v>4160665</v>
      </c>
      <c r="E27" s="18">
        <v>0</v>
      </c>
      <c r="F27" s="18">
        <v>373878.43</v>
      </c>
      <c r="G27" s="19">
        <v>373878.43</v>
      </c>
      <c r="H27" s="20"/>
      <c r="I27" s="18"/>
      <c r="J27" s="18"/>
      <c r="K27" s="19"/>
      <c r="L27" s="20"/>
      <c r="M27" s="18"/>
      <c r="N27" s="18"/>
      <c r="O27" s="18"/>
      <c r="P27" s="19"/>
      <c r="Q27" s="20"/>
      <c r="R27" s="18"/>
      <c r="S27" s="18"/>
      <c r="T27" s="18"/>
      <c r="U27" s="19"/>
      <c r="Z27" s="4"/>
      <c r="AC27" s="5"/>
      <c r="AD27" s="4"/>
      <c r="AG27" s="5"/>
      <c r="AH27" s="4"/>
      <c r="AK27" s="5"/>
      <c r="AL27" s="4"/>
      <c r="AO27" s="5"/>
      <c r="AP27" s="4">
        <f t="shared" si="0"/>
        <v>4160665</v>
      </c>
      <c r="AQ27">
        <f t="shared" si="0"/>
        <v>0</v>
      </c>
      <c r="AR27">
        <f t="shared" si="0"/>
        <v>373878.43</v>
      </c>
      <c r="AS27" s="5">
        <f t="shared" si="0"/>
        <v>373878.43</v>
      </c>
      <c r="AU27" s="18">
        <v>272539</v>
      </c>
      <c r="AV27" s="18"/>
      <c r="AW27" s="18">
        <v>6813.48</v>
      </c>
      <c r="AX27" s="18">
        <v>6813.48</v>
      </c>
    </row>
    <row r="28" spans="1:50">
      <c r="A28" s="22" t="s">
        <v>43</v>
      </c>
      <c r="B28">
        <v>2302</v>
      </c>
      <c r="C28" s="18">
        <v>210</v>
      </c>
      <c r="D28" s="18">
        <v>29995</v>
      </c>
      <c r="E28" s="18">
        <v>0</v>
      </c>
      <c r="F28" s="18">
        <v>2699.55</v>
      </c>
      <c r="G28" s="19">
        <v>2699.55</v>
      </c>
      <c r="H28" s="20"/>
      <c r="I28" s="18"/>
      <c r="J28" s="18"/>
      <c r="K28" s="19"/>
      <c r="L28" s="20"/>
      <c r="M28" s="18"/>
      <c r="N28" s="18"/>
      <c r="O28" s="18"/>
      <c r="P28" s="19"/>
      <c r="Q28" s="20"/>
      <c r="R28" s="18"/>
      <c r="S28" s="18"/>
      <c r="T28" s="18"/>
      <c r="U28" s="19"/>
      <c r="Z28" s="4"/>
      <c r="AC28" s="5"/>
      <c r="AD28" s="4"/>
      <c r="AG28" s="5"/>
      <c r="AH28" s="4"/>
      <c r="AK28" s="5"/>
      <c r="AL28" s="4"/>
      <c r="AO28" s="5"/>
      <c r="AP28" s="4">
        <f t="shared" si="0"/>
        <v>29995</v>
      </c>
      <c r="AQ28">
        <f t="shared" si="0"/>
        <v>0</v>
      </c>
      <c r="AR28">
        <f t="shared" si="0"/>
        <v>2699.55</v>
      </c>
      <c r="AS28" s="5">
        <f t="shared" si="0"/>
        <v>2699.55</v>
      </c>
      <c r="AU28" s="18">
        <v>385001</v>
      </c>
      <c r="AV28" s="18"/>
      <c r="AW28" s="18">
        <v>9625.0249999999996</v>
      </c>
      <c r="AX28" s="18">
        <v>9625.0249999999996</v>
      </c>
    </row>
    <row r="29" spans="1:50">
      <c r="A29" s="22" t="s">
        <v>44</v>
      </c>
      <c r="B29">
        <v>2303</v>
      </c>
      <c r="C29" s="18">
        <v>220</v>
      </c>
      <c r="D29" s="18">
        <v>133126</v>
      </c>
      <c r="E29" s="18">
        <v>0</v>
      </c>
      <c r="F29" s="18">
        <v>11981.34</v>
      </c>
      <c r="G29" s="19">
        <v>11981.34</v>
      </c>
      <c r="H29" s="20"/>
      <c r="I29" s="18"/>
      <c r="J29" s="18"/>
      <c r="K29" s="19"/>
      <c r="L29" s="20"/>
      <c r="M29" s="18"/>
      <c r="N29" s="18"/>
      <c r="O29" s="18"/>
      <c r="P29" s="19"/>
      <c r="Q29" s="20"/>
      <c r="R29" s="18"/>
      <c r="S29" s="18"/>
      <c r="T29" s="18"/>
      <c r="U29" s="19"/>
      <c r="Z29" s="4"/>
      <c r="AC29" s="5"/>
      <c r="AD29" s="4"/>
      <c r="AG29" s="5"/>
      <c r="AH29" s="4"/>
      <c r="AK29" s="5"/>
      <c r="AL29" s="4"/>
      <c r="AO29" s="5"/>
      <c r="AP29" s="4">
        <f t="shared" si="0"/>
        <v>133126</v>
      </c>
      <c r="AQ29">
        <f t="shared" si="0"/>
        <v>0</v>
      </c>
      <c r="AR29">
        <f t="shared" si="0"/>
        <v>11981.34</v>
      </c>
      <c r="AS29" s="5">
        <f t="shared" si="0"/>
        <v>11981.34</v>
      </c>
      <c r="AU29" s="18">
        <v>8039783</v>
      </c>
      <c r="AV29" s="18"/>
      <c r="AW29" s="18">
        <v>712946.4</v>
      </c>
      <c r="AX29" s="18">
        <v>712946.9</v>
      </c>
    </row>
    <row r="30" spans="1:50">
      <c r="A30" s="22" t="s">
        <v>45</v>
      </c>
      <c r="B30">
        <v>2216</v>
      </c>
      <c r="C30" s="18">
        <v>436</v>
      </c>
      <c r="D30" s="18">
        <v>109384</v>
      </c>
      <c r="E30" s="18">
        <v>1361.52</v>
      </c>
      <c r="F30" s="18">
        <v>9163.7999999999993</v>
      </c>
      <c r="G30" s="19">
        <v>9163.7999999999993</v>
      </c>
      <c r="H30" s="20"/>
      <c r="I30" s="18"/>
      <c r="J30" s="18"/>
      <c r="K30" s="19"/>
      <c r="L30" s="20"/>
      <c r="M30" s="18"/>
      <c r="N30" s="18"/>
      <c r="O30" s="18"/>
      <c r="P30" s="19"/>
      <c r="Q30" s="20"/>
      <c r="R30" s="18"/>
      <c r="S30" s="18"/>
      <c r="T30" s="18"/>
      <c r="U30" s="19"/>
      <c r="V30">
        <f>VLOOKUP($C30,'[27]TDA HT &amp; LT'!$B$7:$V$51,2,0)</f>
        <v>13202809.190000001</v>
      </c>
      <c r="W30">
        <f>VLOOKUP($C30,'[27]TDA HT &amp; LT'!$B$7:$V$51,3,0)</f>
        <v>0</v>
      </c>
      <c r="X30">
        <f>VLOOKUP($C30,'[27]TDA HT &amp; LT'!$B$7:$V$51,4,0)</f>
        <v>1188252.8899999999</v>
      </c>
      <c r="Y30">
        <f>VLOOKUP($C30,'[27]TDA HT &amp; LT'!$B$7:$V$51,5,0)</f>
        <v>1188252.8899999999</v>
      </c>
      <c r="Z30" s="4">
        <f>VLOOKUP($C30,'[27]TDA HT &amp; LT'!$B$7:$V$51,6,0)</f>
        <v>0</v>
      </c>
      <c r="AA30">
        <f>VLOOKUP($C30,'[27]TDA HT &amp; LT'!$B$7:$V$51,7,0)</f>
        <v>0</v>
      </c>
      <c r="AB30">
        <f>VLOOKUP($C30,'[27]TDA HT &amp; LT'!$B$7:$V$51,8,0)</f>
        <v>0</v>
      </c>
      <c r="AC30" s="5">
        <f>VLOOKUP($C30,'[27]TDA HT &amp; LT'!$B$7:$V$51,9,0)</f>
        <v>0</v>
      </c>
      <c r="AD30" s="4">
        <f>VLOOKUP($C30,'[27]TDA HT &amp; LT'!$B$7:$V$51,10,0)</f>
        <v>3326740.63</v>
      </c>
      <c r="AE30">
        <f>VLOOKUP($C30,'[27]TDA HT &amp; LT'!$B$7:$V$51,11,0)</f>
        <v>0</v>
      </c>
      <c r="AF30">
        <f>VLOOKUP($C30,'[27]TDA HT &amp; LT'!$B$7:$V$51,12,0)</f>
        <v>299406.67</v>
      </c>
      <c r="AG30" s="5">
        <f>VLOOKUP($C30,'[27]TDA HT &amp; LT'!$B$7:$V$51,13,0)</f>
        <v>299406.67</v>
      </c>
      <c r="AH30" s="4">
        <f>VLOOKUP($C30,'[27]TDA HT &amp; LT'!$B$7:$V$51,14,0)</f>
        <v>0</v>
      </c>
      <c r="AI30">
        <f>VLOOKUP($C30,'[27]TDA HT &amp; LT'!$B$7:$V$51,15,0)</f>
        <v>0</v>
      </c>
      <c r="AJ30">
        <f>VLOOKUP($C30,'[27]TDA HT &amp; LT'!$B$7:$V$51,16,0)</f>
        <v>0</v>
      </c>
      <c r="AK30" s="5">
        <f>VLOOKUP($C30,'[27]TDA HT &amp; LT'!$B$7:$V$51,17,0)</f>
        <v>0</v>
      </c>
      <c r="AL30" s="4">
        <f>VLOOKUP($C30,'[27]TDA HT &amp; LT'!$B$7:$V$51,18,0)</f>
        <v>-18200</v>
      </c>
      <c r="AM30">
        <f>VLOOKUP($C30,'[27]TDA HT &amp; LT'!$B$7:$V$51,19,0)</f>
        <v>0</v>
      </c>
      <c r="AN30">
        <f>VLOOKUP($C30,'[27]TDA HT &amp; LT'!$B$7:$V$51,20,0)</f>
        <v>0</v>
      </c>
      <c r="AO30" s="5">
        <f>VLOOKUP($C30,'[27]TDA HT &amp; LT'!$B$7:$V$51,21,0)</f>
        <v>0</v>
      </c>
      <c r="AP30" s="4">
        <f t="shared" si="0"/>
        <v>16620733.82</v>
      </c>
      <c r="AQ30">
        <f t="shared" si="0"/>
        <v>1361.52</v>
      </c>
      <c r="AR30">
        <f t="shared" si="0"/>
        <v>1496823.3599999999</v>
      </c>
      <c r="AS30" s="5">
        <f t="shared" si="0"/>
        <v>1496823.3599999999</v>
      </c>
      <c r="AU30" s="18">
        <v>235192.20999999996</v>
      </c>
      <c r="AV30" s="18"/>
      <c r="AW30" s="18">
        <v>5879.8052499999994</v>
      </c>
      <c r="AX30" s="18">
        <v>5879.8052499999994</v>
      </c>
    </row>
    <row r="31" spans="1:50">
      <c r="A31" s="22" t="s">
        <v>46</v>
      </c>
      <c r="B31">
        <v>2243</v>
      </c>
      <c r="C31" s="18">
        <v>417</v>
      </c>
      <c r="D31" s="18"/>
      <c r="E31" s="18"/>
      <c r="F31" s="18"/>
      <c r="G31" s="19"/>
      <c r="H31" s="20"/>
      <c r="I31" s="18"/>
      <c r="J31" s="18"/>
      <c r="K31" s="19"/>
      <c r="L31" s="20"/>
      <c r="M31" s="18"/>
      <c r="N31" s="18"/>
      <c r="O31" s="18"/>
      <c r="P31" s="19"/>
      <c r="Q31" s="20"/>
      <c r="R31" s="18"/>
      <c r="S31" s="18"/>
      <c r="T31" s="18"/>
      <c r="U31" s="19"/>
      <c r="V31">
        <f>VLOOKUP($C31,'[27]TDA HT &amp; LT'!$B$7:$V$51,2,0)</f>
        <v>276453</v>
      </c>
      <c r="W31">
        <f>VLOOKUP($C31,'[27]TDA HT &amp; LT'!$B$7:$V$51,3,0)</f>
        <v>0</v>
      </c>
      <c r="X31">
        <f>VLOOKUP($C31,'[27]TDA HT &amp; LT'!$B$7:$V$51,4,0)</f>
        <v>24880.969999999994</v>
      </c>
      <c r="Y31">
        <f>VLOOKUP($C31,'[27]TDA HT &amp; LT'!$B$7:$V$51,5,0)</f>
        <v>24880.969999999994</v>
      </c>
      <c r="Z31" s="4">
        <f>VLOOKUP($C31,'[27]TDA HT &amp; LT'!$B$7:$V$51,6,0)</f>
        <v>0</v>
      </c>
      <c r="AA31">
        <f>VLOOKUP($C31,'[27]TDA HT &amp; LT'!$B$7:$V$51,7,0)</f>
        <v>0</v>
      </c>
      <c r="AB31">
        <f>VLOOKUP($C31,'[27]TDA HT &amp; LT'!$B$7:$V$51,8,0)</f>
        <v>0</v>
      </c>
      <c r="AC31" s="5">
        <f>VLOOKUP($C31,'[27]TDA HT &amp; LT'!$B$7:$V$51,9,0)</f>
        <v>0</v>
      </c>
      <c r="AD31" s="4">
        <f>VLOOKUP($C31,'[27]TDA HT &amp; LT'!$B$7:$V$51,10,0)</f>
        <v>3050242.5</v>
      </c>
      <c r="AE31">
        <f>VLOOKUP($C31,'[27]TDA HT &amp; LT'!$B$7:$V$51,11,0)</f>
        <v>0</v>
      </c>
      <c r="AF31">
        <f>VLOOKUP($C31,'[27]TDA HT &amp; LT'!$B$7:$V$51,12,0)</f>
        <v>274521.83</v>
      </c>
      <c r="AG31" s="5">
        <f>VLOOKUP($C31,'[27]TDA HT &amp; LT'!$B$7:$V$51,13,0)</f>
        <v>274521.83</v>
      </c>
      <c r="AH31" s="4">
        <f>VLOOKUP($C31,'[27]TDA HT &amp; LT'!$B$7:$V$51,14,0)</f>
        <v>0</v>
      </c>
      <c r="AI31">
        <f>VLOOKUP($C31,'[27]TDA HT &amp; LT'!$B$7:$V$51,15,0)</f>
        <v>0</v>
      </c>
      <c r="AJ31">
        <f>VLOOKUP($C31,'[27]TDA HT &amp; LT'!$B$7:$V$51,16,0)</f>
        <v>0</v>
      </c>
      <c r="AK31" s="5">
        <f>VLOOKUP($C31,'[27]TDA HT &amp; LT'!$B$7:$V$51,17,0)</f>
        <v>0</v>
      </c>
      <c r="AL31" s="4">
        <f>VLOOKUP($C31,'[27]TDA HT &amp; LT'!$B$7:$V$51,18,0)</f>
        <v>0</v>
      </c>
      <c r="AM31">
        <f>VLOOKUP($C31,'[27]TDA HT &amp; LT'!$B$7:$V$51,19,0)</f>
        <v>0</v>
      </c>
      <c r="AN31">
        <f>VLOOKUP($C31,'[27]TDA HT &amp; LT'!$B$7:$V$51,20,0)</f>
        <v>0</v>
      </c>
      <c r="AO31" s="5">
        <f>VLOOKUP($C31,'[27]TDA HT &amp; LT'!$B$7:$V$51,21,0)</f>
        <v>0</v>
      </c>
      <c r="AP31" s="4">
        <f t="shared" si="0"/>
        <v>3326695.5</v>
      </c>
      <c r="AQ31">
        <f t="shared" si="0"/>
        <v>0</v>
      </c>
      <c r="AR31">
        <f t="shared" si="0"/>
        <v>299402.8</v>
      </c>
      <c r="AS31" s="5">
        <f t="shared" si="0"/>
        <v>299402.8</v>
      </c>
      <c r="AU31" s="18">
        <v>80810</v>
      </c>
      <c r="AV31" s="18"/>
      <c r="AW31" s="18">
        <v>2020.25</v>
      </c>
      <c r="AX31" s="18">
        <v>2020.25</v>
      </c>
    </row>
    <row r="32" spans="1:50">
      <c r="A32" s="22" t="s">
        <v>47</v>
      </c>
      <c r="B32">
        <v>2204</v>
      </c>
      <c r="C32" s="18">
        <v>410</v>
      </c>
      <c r="D32" s="18">
        <v>7910</v>
      </c>
      <c r="E32" s="18">
        <v>0</v>
      </c>
      <c r="F32" s="18">
        <v>711.9</v>
      </c>
      <c r="G32" s="19">
        <v>711.9</v>
      </c>
      <c r="H32" s="20"/>
      <c r="I32" s="18"/>
      <c r="J32" s="18"/>
      <c r="K32" s="19"/>
      <c r="L32" s="20"/>
      <c r="M32" s="18"/>
      <c r="N32" s="18"/>
      <c r="O32" s="18"/>
      <c r="P32" s="19"/>
      <c r="Q32" s="20"/>
      <c r="R32" s="18"/>
      <c r="S32" s="18"/>
      <c r="T32" s="18"/>
      <c r="U32" s="19"/>
      <c r="V32">
        <f>VLOOKUP($C32,'[27]TDA HT &amp; LT'!$B$7:$V$51,2,0)</f>
        <v>6818069.6200000001</v>
      </c>
      <c r="W32">
        <f>VLOOKUP($C32,'[27]TDA HT &amp; LT'!$B$7:$V$51,3,0)</f>
        <v>0</v>
      </c>
      <c r="X32">
        <f>VLOOKUP($C32,'[27]TDA HT &amp; LT'!$B$7:$V$51,4,0)</f>
        <v>613627.56000000006</v>
      </c>
      <c r="Y32">
        <f>VLOOKUP($C32,'[27]TDA HT &amp; LT'!$B$7:$V$51,5,0)</f>
        <v>613627.56000000006</v>
      </c>
      <c r="Z32" s="4">
        <f>VLOOKUP($C32,'[27]TDA HT &amp; LT'!$B$7:$V$51,6,0)</f>
        <v>188468</v>
      </c>
      <c r="AA32">
        <f>VLOOKUP($C32,'[27]TDA HT &amp; LT'!$B$7:$V$51,7,0)</f>
        <v>0</v>
      </c>
      <c r="AB32">
        <f>VLOOKUP($C32,'[27]TDA HT &amp; LT'!$B$7:$V$51,8,0)</f>
        <v>16962.2</v>
      </c>
      <c r="AC32" s="5">
        <f>VLOOKUP($C32,'[27]TDA HT &amp; LT'!$B$7:$V$51,9,0)</f>
        <v>16962.2</v>
      </c>
      <c r="AD32" s="4">
        <f>VLOOKUP($C32,'[27]TDA HT &amp; LT'!$B$7:$V$51,10,0)</f>
        <v>2503863.62</v>
      </c>
      <c r="AE32">
        <f>VLOOKUP($C32,'[27]TDA HT &amp; LT'!$B$7:$V$51,11,0)</f>
        <v>0</v>
      </c>
      <c r="AF32">
        <f>VLOOKUP($C32,'[27]TDA HT &amp; LT'!$B$7:$V$51,12,0)</f>
        <v>225347.73</v>
      </c>
      <c r="AG32" s="5">
        <f>VLOOKUP($C32,'[27]TDA HT &amp; LT'!$B$7:$V$51,13,0)</f>
        <v>225347.73</v>
      </c>
      <c r="AH32" s="4">
        <f>VLOOKUP($C32,'[27]TDA HT &amp; LT'!$B$7:$V$51,14,0)</f>
        <v>-18200.000000000931</v>
      </c>
      <c r="AI32">
        <f>VLOOKUP($C32,'[27]TDA HT &amp; LT'!$B$7:$V$51,15,0)</f>
        <v>0</v>
      </c>
      <c r="AJ32">
        <f>VLOOKUP($C32,'[27]TDA HT &amp; LT'!$B$7:$V$51,16,0)</f>
        <v>-1638.0000000002328</v>
      </c>
      <c r="AK32" s="5">
        <f>VLOOKUP($C32,'[27]TDA HT &amp; LT'!$B$7:$V$51,17,0)</f>
        <v>-1638.0000000002328</v>
      </c>
      <c r="AL32" s="4">
        <f>VLOOKUP($C32,'[27]TDA HT &amp; LT'!$B$7:$V$51,18,0)</f>
        <v>0</v>
      </c>
      <c r="AM32">
        <f>VLOOKUP($C32,'[27]TDA HT &amp; LT'!$B$7:$V$51,19,0)</f>
        <v>0</v>
      </c>
      <c r="AN32">
        <f>VLOOKUP($C32,'[27]TDA HT &amp; LT'!$B$7:$V$51,20,0)</f>
        <v>0</v>
      </c>
      <c r="AO32" s="5">
        <f>VLOOKUP($C32,'[27]TDA HT &amp; LT'!$B$7:$V$51,21,0)</f>
        <v>0</v>
      </c>
      <c r="AP32" s="4">
        <f t="shared" si="0"/>
        <v>9500111.2399999984</v>
      </c>
      <c r="AQ32">
        <f t="shared" si="0"/>
        <v>0</v>
      </c>
      <c r="AR32">
        <f t="shared" si="0"/>
        <v>855011.38999999978</v>
      </c>
      <c r="AS32" s="5">
        <f t="shared" si="0"/>
        <v>855011.38999999978</v>
      </c>
      <c r="AU32" s="18">
        <v>458249</v>
      </c>
      <c r="AV32" s="18"/>
      <c r="AW32" s="18">
        <v>11456.225</v>
      </c>
      <c r="AX32" s="18">
        <v>11456.225</v>
      </c>
    </row>
    <row r="33" spans="1:50">
      <c r="A33" s="22" t="s">
        <v>48</v>
      </c>
      <c r="B33">
        <v>2228</v>
      </c>
      <c r="C33" s="18">
        <v>474</v>
      </c>
      <c r="D33" s="18">
        <v>12596932.620000001</v>
      </c>
      <c r="E33" s="18">
        <v>362561.85000000003</v>
      </c>
      <c r="F33" s="18">
        <v>952467.01</v>
      </c>
      <c r="G33" s="19">
        <v>952467.01</v>
      </c>
      <c r="H33" s="20"/>
      <c r="I33" s="18"/>
      <c r="J33" s="18"/>
      <c r="K33" s="19"/>
      <c r="L33" s="20" t="s">
        <v>49</v>
      </c>
      <c r="M33" s="18">
        <v>0</v>
      </c>
      <c r="N33" s="18">
        <v>0</v>
      </c>
      <c r="O33" s="23">
        <v>1150.7400000000007</v>
      </c>
      <c r="P33" s="24">
        <v>1150.7400000000007</v>
      </c>
      <c r="Q33" s="20"/>
      <c r="R33" s="18"/>
      <c r="S33" s="18"/>
      <c r="T33" s="18"/>
      <c r="U33" s="19"/>
      <c r="V33">
        <f>VLOOKUP($C33,'[27]TDA HT &amp; LT'!$B$7:$V$51,2,0)</f>
        <v>2312994.79</v>
      </c>
      <c r="W33">
        <f>VLOOKUP($C33,'[27]TDA HT &amp; LT'!$B$7:$V$51,3,0)</f>
        <v>0</v>
      </c>
      <c r="X33">
        <f>VLOOKUP($C33,'[27]TDA HT &amp; LT'!$B$7:$V$51,4,0)</f>
        <v>208169.75000000003</v>
      </c>
      <c r="Y33">
        <f>VLOOKUP($C33,'[27]TDA HT &amp; LT'!$B$7:$V$51,5,0)</f>
        <v>208169.75000000003</v>
      </c>
      <c r="Z33" s="4">
        <f>VLOOKUP($C33,'[27]TDA HT &amp; LT'!$B$7:$V$51,6,0)</f>
        <v>128660</v>
      </c>
      <c r="AA33">
        <f>VLOOKUP($C33,'[27]TDA HT &amp; LT'!$B$7:$V$51,7,0)</f>
        <v>0</v>
      </c>
      <c r="AB33">
        <f>VLOOKUP($C33,'[27]TDA HT &amp; LT'!$B$7:$V$51,8,0)</f>
        <v>11579.4</v>
      </c>
      <c r="AC33" s="5">
        <f>VLOOKUP($C33,'[27]TDA HT &amp; LT'!$B$7:$V$51,9,0)</f>
        <v>11579.4</v>
      </c>
      <c r="AD33" s="4">
        <f>VLOOKUP($C33,'[27]TDA HT &amp; LT'!$B$7:$V$51,10,0)</f>
        <v>4449109.72</v>
      </c>
      <c r="AE33">
        <f>VLOOKUP($C33,'[27]TDA HT &amp; LT'!$B$7:$V$51,11,0)</f>
        <v>0</v>
      </c>
      <c r="AF33">
        <f>VLOOKUP($C33,'[27]TDA HT &amp; LT'!$B$7:$V$51,12,0)</f>
        <v>400419.88</v>
      </c>
      <c r="AG33" s="5">
        <f>VLOOKUP($C33,'[27]TDA HT &amp; LT'!$B$7:$V$51,13,0)</f>
        <v>400419.88</v>
      </c>
      <c r="AH33" s="4">
        <f>VLOOKUP($C33,'[27]TDA HT &amp; LT'!$B$7:$V$51,14,0)</f>
        <v>0</v>
      </c>
      <c r="AI33">
        <f>VLOOKUP($C33,'[27]TDA HT &amp; LT'!$B$7:$V$51,15,0)</f>
        <v>0</v>
      </c>
      <c r="AJ33">
        <f>VLOOKUP($C33,'[27]TDA HT &amp; LT'!$B$7:$V$51,16,0)</f>
        <v>0</v>
      </c>
      <c r="AK33" s="5">
        <f>VLOOKUP($C33,'[27]TDA HT &amp; LT'!$B$7:$V$51,17,0)</f>
        <v>0</v>
      </c>
      <c r="AL33" s="4">
        <f>VLOOKUP($C33,'[27]TDA HT &amp; LT'!$B$7:$V$51,18,0)</f>
        <v>0</v>
      </c>
      <c r="AM33">
        <f>VLOOKUP($C33,'[27]TDA HT &amp; LT'!$B$7:$V$51,19,0)</f>
        <v>0</v>
      </c>
      <c r="AN33">
        <f>VLOOKUP($C33,'[27]TDA HT &amp; LT'!$B$7:$V$51,20,0)</f>
        <v>0</v>
      </c>
      <c r="AO33" s="5">
        <f>VLOOKUP($C33,'[27]TDA HT &amp; LT'!$B$7:$V$51,21,0)</f>
        <v>0</v>
      </c>
      <c r="AP33" s="4">
        <f t="shared" si="0"/>
        <v>19487697.129999999</v>
      </c>
      <c r="AQ33">
        <f t="shared" si="0"/>
        <v>362561.85000000003</v>
      </c>
      <c r="AR33">
        <f t="shared" si="0"/>
        <v>1573786.7799999998</v>
      </c>
      <c r="AS33" s="5">
        <f t="shared" si="0"/>
        <v>1573786.7799999998</v>
      </c>
      <c r="AU33" s="18">
        <v>23387</v>
      </c>
      <c r="AV33" s="18"/>
      <c r="AW33" s="18">
        <v>584.67500000000007</v>
      </c>
      <c r="AX33" s="18">
        <v>584.67500000000007</v>
      </c>
    </row>
    <row r="34" spans="1:50">
      <c r="A34" s="22" t="s">
        <v>50</v>
      </c>
      <c r="B34">
        <v>2232</v>
      </c>
      <c r="C34" s="18">
        <v>443</v>
      </c>
      <c r="D34" s="18">
        <v>41591</v>
      </c>
      <c r="E34" s="18">
        <v>0</v>
      </c>
      <c r="F34" s="18">
        <v>3743.19</v>
      </c>
      <c r="G34" s="19">
        <v>3743.19</v>
      </c>
      <c r="H34" s="20"/>
      <c r="I34" s="18"/>
      <c r="J34" s="18"/>
      <c r="K34" s="19"/>
      <c r="L34" s="20"/>
      <c r="M34" s="18"/>
      <c r="N34" s="18"/>
      <c r="O34" s="18"/>
      <c r="P34" s="19"/>
      <c r="Q34" s="20"/>
      <c r="R34" s="18"/>
      <c r="S34" s="18"/>
      <c r="T34" s="18"/>
      <c r="U34" s="19"/>
      <c r="V34">
        <f>VLOOKUP($C34,'[27]TDA HT &amp; LT'!$B$7:$V$51,2,0)</f>
        <v>2700998.5700000003</v>
      </c>
      <c r="W34">
        <f>VLOOKUP($C34,'[27]TDA HT &amp; LT'!$B$7:$V$51,3,0)</f>
        <v>0</v>
      </c>
      <c r="X34">
        <f>VLOOKUP($C34,'[27]TDA HT &amp; LT'!$B$7:$V$51,4,0)</f>
        <v>243090.15</v>
      </c>
      <c r="Y34">
        <f>VLOOKUP($C34,'[27]TDA HT &amp; LT'!$B$7:$V$51,5,0)</f>
        <v>243090.15</v>
      </c>
      <c r="Z34" s="4">
        <f>VLOOKUP($C34,'[27]TDA HT &amp; LT'!$B$7:$V$51,6,0)</f>
        <v>0</v>
      </c>
      <c r="AA34">
        <f>VLOOKUP($C34,'[27]TDA HT &amp; LT'!$B$7:$V$51,7,0)</f>
        <v>0</v>
      </c>
      <c r="AB34">
        <f>VLOOKUP($C34,'[27]TDA HT &amp; LT'!$B$7:$V$51,8,0)</f>
        <v>0</v>
      </c>
      <c r="AC34" s="5">
        <f>VLOOKUP($C34,'[27]TDA HT &amp; LT'!$B$7:$V$51,9,0)</f>
        <v>0</v>
      </c>
      <c r="AD34" s="4">
        <f>VLOOKUP($C34,'[27]TDA HT &amp; LT'!$B$7:$V$51,10,0)</f>
        <v>2903509.83</v>
      </c>
      <c r="AE34">
        <f>VLOOKUP($C34,'[27]TDA HT &amp; LT'!$B$7:$V$51,11,0)</f>
        <v>0</v>
      </c>
      <c r="AF34">
        <f>VLOOKUP($C34,'[27]TDA HT &amp; LT'!$B$7:$V$51,12,0)</f>
        <v>261315.88</v>
      </c>
      <c r="AG34" s="5">
        <f>VLOOKUP($C34,'[27]TDA HT &amp; LT'!$B$7:$V$51,13,0)</f>
        <v>261315.88</v>
      </c>
      <c r="AH34" s="4">
        <f>VLOOKUP($C34,'[27]TDA HT &amp; LT'!$B$7:$V$51,14,0)</f>
        <v>0</v>
      </c>
      <c r="AI34">
        <f>VLOOKUP($C34,'[27]TDA HT &amp; LT'!$B$7:$V$51,15,0)</f>
        <v>0</v>
      </c>
      <c r="AJ34">
        <f>VLOOKUP($C34,'[27]TDA HT &amp; LT'!$B$7:$V$51,16,0)</f>
        <v>0</v>
      </c>
      <c r="AK34" s="5">
        <f>VLOOKUP($C34,'[27]TDA HT &amp; LT'!$B$7:$V$51,17,0)</f>
        <v>0</v>
      </c>
      <c r="AL34" s="4">
        <f>VLOOKUP($C34,'[27]TDA HT &amp; LT'!$B$7:$V$51,18,0)</f>
        <v>0</v>
      </c>
      <c r="AM34">
        <f>VLOOKUP($C34,'[27]TDA HT &amp; LT'!$B$7:$V$51,19,0)</f>
        <v>0</v>
      </c>
      <c r="AN34">
        <f>VLOOKUP($C34,'[27]TDA HT &amp; LT'!$B$7:$V$51,20,0)</f>
        <v>0</v>
      </c>
      <c r="AO34" s="5">
        <f>VLOOKUP($C34,'[27]TDA HT &amp; LT'!$B$7:$V$51,21,0)</f>
        <v>0</v>
      </c>
      <c r="AP34" s="4">
        <f t="shared" si="0"/>
        <v>5646099.4000000004</v>
      </c>
      <c r="AQ34">
        <f t="shared" si="0"/>
        <v>0</v>
      </c>
      <c r="AR34">
        <f t="shared" si="0"/>
        <v>508149.22</v>
      </c>
      <c r="AS34" s="5">
        <f t="shared" si="0"/>
        <v>508149.22</v>
      </c>
      <c r="AU34" s="18">
        <v>167125</v>
      </c>
      <c r="AV34" s="18"/>
      <c r="AW34" s="18">
        <v>4178.125</v>
      </c>
      <c r="AX34" s="18">
        <v>4178.125</v>
      </c>
    </row>
    <row r="35" spans="1:50">
      <c r="A35" s="22" t="s">
        <v>51</v>
      </c>
      <c r="B35">
        <v>2504</v>
      </c>
      <c r="C35" s="18">
        <v>553</v>
      </c>
      <c r="D35" s="18">
        <v>55951</v>
      </c>
      <c r="E35" s="18">
        <v>2213.46</v>
      </c>
      <c r="F35" s="18">
        <v>3928.86</v>
      </c>
      <c r="G35" s="19">
        <v>3928.86</v>
      </c>
      <c r="H35" s="20"/>
      <c r="I35" s="18"/>
      <c r="J35" s="18"/>
      <c r="K35" s="19"/>
      <c r="L35" s="20"/>
      <c r="M35" s="18"/>
      <c r="N35" s="18"/>
      <c r="O35" s="18"/>
      <c r="P35" s="19"/>
      <c r="Q35" s="20"/>
      <c r="R35" s="18"/>
      <c r="S35" s="18"/>
      <c r="T35" s="18"/>
      <c r="U35" s="19"/>
      <c r="Z35" s="4"/>
      <c r="AC35" s="5"/>
      <c r="AD35" s="4"/>
      <c r="AG35" s="5"/>
      <c r="AH35" s="4"/>
      <c r="AK35" s="5"/>
      <c r="AL35" s="4"/>
      <c r="AO35" s="5"/>
      <c r="AP35" s="4">
        <f t="shared" si="0"/>
        <v>55951</v>
      </c>
      <c r="AQ35">
        <f t="shared" si="0"/>
        <v>2213.46</v>
      </c>
      <c r="AR35">
        <f t="shared" si="0"/>
        <v>3928.86</v>
      </c>
      <c r="AS35" s="5">
        <f t="shared" si="0"/>
        <v>3928.86</v>
      </c>
      <c r="AU35" s="18">
        <v>42640</v>
      </c>
      <c r="AV35" s="18"/>
      <c r="AW35" s="18">
        <v>1066</v>
      </c>
      <c r="AX35" s="18">
        <v>1066</v>
      </c>
    </row>
    <row r="36" spans="1:50">
      <c r="A36" s="22" t="s">
        <v>52</v>
      </c>
      <c r="B36">
        <v>2238</v>
      </c>
      <c r="C36" s="18">
        <v>421</v>
      </c>
      <c r="D36" s="18">
        <v>1170523.99</v>
      </c>
      <c r="E36" s="18">
        <v>64799.090000000004</v>
      </c>
      <c r="F36" s="18">
        <v>72772.350000000006</v>
      </c>
      <c r="G36" s="19">
        <v>72772.350000000006</v>
      </c>
      <c r="H36" s="20"/>
      <c r="I36" s="18"/>
      <c r="J36" s="18"/>
      <c r="K36" s="19"/>
      <c r="L36" s="20"/>
      <c r="M36" s="18"/>
      <c r="N36" s="18"/>
      <c r="O36" s="18"/>
      <c r="P36" s="19"/>
      <c r="Q36" s="20"/>
      <c r="R36" s="18"/>
      <c r="S36" s="18"/>
      <c r="T36" s="18"/>
      <c r="U36" s="19"/>
      <c r="V36">
        <f>VLOOKUP($C36,'[27]TDA HT &amp; LT'!$B$7:$V$51,2,0)</f>
        <v>25181050.77</v>
      </c>
      <c r="W36">
        <f>VLOOKUP($C36,'[27]TDA HT &amp; LT'!$B$7:$V$51,3,0)</f>
        <v>0</v>
      </c>
      <c r="X36">
        <f>VLOOKUP($C36,'[27]TDA HT &amp; LT'!$B$7:$V$51,4,0)</f>
        <v>2192490.5900000008</v>
      </c>
      <c r="Y36">
        <f>VLOOKUP($C36,'[27]TDA HT &amp; LT'!$B$7:$V$51,5,0)</f>
        <v>2192490.5900000008</v>
      </c>
      <c r="Z36" s="4">
        <f>VLOOKUP($C36,'[27]TDA HT &amp; LT'!$B$7:$V$51,6,0)</f>
        <v>78390</v>
      </c>
      <c r="AA36">
        <f>VLOOKUP($C36,'[27]TDA HT &amp; LT'!$B$7:$V$51,7,0)</f>
        <v>2172.6</v>
      </c>
      <c r="AB36">
        <f>VLOOKUP($C36,'[27]TDA HT &amp; LT'!$B$7:$V$51,8,0)</f>
        <v>5968.8</v>
      </c>
      <c r="AC36" s="5">
        <f>VLOOKUP($C36,'[27]TDA HT &amp; LT'!$B$7:$V$51,9,0)</f>
        <v>5968.8</v>
      </c>
      <c r="AD36" s="4">
        <f>VLOOKUP($C36,'[27]TDA HT &amp; LT'!$B$7:$V$51,10,0)</f>
        <v>5550668.0199999996</v>
      </c>
      <c r="AE36">
        <f>VLOOKUP($C36,'[27]TDA HT &amp; LT'!$B$7:$V$51,11,0)</f>
        <v>0</v>
      </c>
      <c r="AF36">
        <f>VLOOKUP($C36,'[27]TDA HT &amp; LT'!$B$7:$V$51,12,0)</f>
        <v>499560.1</v>
      </c>
      <c r="AG36" s="5">
        <f>VLOOKUP($C36,'[27]TDA HT &amp; LT'!$B$7:$V$51,13,0)</f>
        <v>499560.1</v>
      </c>
      <c r="AH36" s="4">
        <f>VLOOKUP($C36,'[27]TDA HT &amp; LT'!$B$7:$V$51,14,0)</f>
        <v>200.00000000745058</v>
      </c>
      <c r="AI36">
        <f>VLOOKUP($C36,'[27]TDA HT &amp; LT'!$B$7:$V$51,15,0)</f>
        <v>0</v>
      </c>
      <c r="AJ36">
        <f>VLOOKUP($C36,'[27]TDA HT &amp; LT'!$B$7:$V$51,16,0)</f>
        <v>252.20999999949709</v>
      </c>
      <c r="AK36" s="5">
        <f>VLOOKUP($C36,'[27]TDA HT &amp; LT'!$B$7:$V$51,17,0)</f>
        <v>252.20999999949709</v>
      </c>
      <c r="AL36" s="4">
        <f>VLOOKUP($C36,'[27]TDA HT &amp; LT'!$B$7:$V$51,18,0)</f>
        <v>0</v>
      </c>
      <c r="AM36">
        <f>VLOOKUP($C36,'[27]TDA HT &amp; LT'!$B$7:$V$51,19,0)</f>
        <v>936</v>
      </c>
      <c r="AN36">
        <f>VLOOKUP($C36,'[27]TDA HT &amp; LT'!$B$7:$V$51,20,0)</f>
        <v>-468</v>
      </c>
      <c r="AO36" s="5">
        <f>VLOOKUP($C36,'[27]TDA HT &amp; LT'!$B$7:$V$51,21,0)</f>
        <v>-468</v>
      </c>
      <c r="AP36" s="4">
        <f t="shared" si="0"/>
        <v>31980832.780000005</v>
      </c>
      <c r="AQ36">
        <f t="shared" si="0"/>
        <v>67907.69</v>
      </c>
      <c r="AR36">
        <f t="shared" si="0"/>
        <v>2770576.0500000003</v>
      </c>
      <c r="AS36" s="5">
        <f t="shared" si="0"/>
        <v>2770576.0500000003</v>
      </c>
      <c r="AU36" s="18">
        <v>145694</v>
      </c>
      <c r="AV36" s="18"/>
      <c r="AW36" s="18">
        <v>3642.85</v>
      </c>
      <c r="AX36" s="18">
        <v>3642.6</v>
      </c>
    </row>
    <row r="37" spans="1:50">
      <c r="A37" s="22" t="s">
        <v>53</v>
      </c>
      <c r="B37">
        <v>2221</v>
      </c>
      <c r="C37" s="18">
        <v>452</v>
      </c>
      <c r="D37" s="18">
        <v>44960</v>
      </c>
      <c r="E37" s="18">
        <v>3861.58</v>
      </c>
      <c r="F37" s="18">
        <v>2115.4499999999998</v>
      </c>
      <c r="G37" s="19">
        <v>2115.4499999999998</v>
      </c>
      <c r="H37" s="20"/>
      <c r="I37" s="18"/>
      <c r="J37" s="18"/>
      <c r="K37" s="19"/>
      <c r="L37" s="20"/>
      <c r="M37" s="18"/>
      <c r="N37" s="18"/>
      <c r="O37" s="18"/>
      <c r="P37" s="19"/>
      <c r="Q37" s="20"/>
      <c r="R37" s="18"/>
      <c r="S37" s="18"/>
      <c r="T37" s="18"/>
      <c r="U37" s="19"/>
      <c r="V37">
        <f>VLOOKUP($C37,'[27]TDA HT &amp; LT'!$B$7:$V$51,2,0)</f>
        <v>12376489.65</v>
      </c>
      <c r="W37">
        <f>VLOOKUP($C37,'[27]TDA HT &amp; LT'!$B$7:$V$51,3,0)</f>
        <v>468</v>
      </c>
      <c r="X37">
        <f>VLOOKUP($C37,'[27]TDA HT &amp; LT'!$B$7:$V$51,4,0)</f>
        <v>1113416.96</v>
      </c>
      <c r="Y37">
        <f>VLOOKUP($C37,'[27]TDA HT &amp; LT'!$B$7:$V$51,5,0)</f>
        <v>1113416.96</v>
      </c>
      <c r="Z37" s="4">
        <f>VLOOKUP($C37,'[27]TDA HT &amp; LT'!$B$7:$V$51,6,0)</f>
        <v>158826</v>
      </c>
      <c r="AA37">
        <f>VLOOKUP($C37,'[27]TDA HT &amp; LT'!$B$7:$V$51,7,0)</f>
        <v>0</v>
      </c>
      <c r="AB37">
        <f>VLOOKUP($C37,'[27]TDA HT &amp; LT'!$B$7:$V$51,8,0)</f>
        <v>14060.340000000002</v>
      </c>
      <c r="AC37" s="5">
        <f>VLOOKUP($C37,'[27]TDA HT &amp; LT'!$B$7:$V$51,9,0)</f>
        <v>14060.340000000002</v>
      </c>
      <c r="AD37" s="4">
        <f>VLOOKUP($C37,'[27]TDA HT &amp; LT'!$B$7:$V$51,10,0)</f>
        <v>5253081.88</v>
      </c>
      <c r="AE37">
        <f>VLOOKUP($C37,'[27]TDA HT &amp; LT'!$B$7:$V$51,11,0)</f>
        <v>0</v>
      </c>
      <c r="AF37">
        <f>VLOOKUP($C37,'[27]TDA HT &amp; LT'!$B$7:$V$51,12,0)</f>
        <v>472777.37</v>
      </c>
      <c r="AG37" s="5">
        <f>VLOOKUP($C37,'[27]TDA HT &amp; LT'!$B$7:$V$51,13,0)</f>
        <v>472777.37</v>
      </c>
      <c r="AH37" s="4">
        <f>VLOOKUP($C37,'[27]TDA HT &amp; LT'!$B$7:$V$51,14,0)</f>
        <v>1527263.0000000037</v>
      </c>
      <c r="AI37">
        <f>VLOOKUP($C37,'[27]TDA HT &amp; LT'!$B$7:$V$51,15,0)</f>
        <v>0</v>
      </c>
      <c r="AJ37">
        <f>VLOOKUP($C37,'[27]TDA HT &amp; LT'!$B$7:$V$51,16,0)</f>
        <v>137453.66999999946</v>
      </c>
      <c r="AK37" s="5">
        <f>VLOOKUP($C37,'[27]TDA HT &amp; LT'!$B$7:$V$51,17,0)</f>
        <v>137453.66999999946</v>
      </c>
      <c r="AL37" s="4">
        <f>VLOOKUP($C37,'[27]TDA HT &amp; LT'!$B$7:$V$51,18,0)</f>
        <v>0</v>
      </c>
      <c r="AM37">
        <f>VLOOKUP($C37,'[27]TDA HT &amp; LT'!$B$7:$V$51,19,0)</f>
        <v>0</v>
      </c>
      <c r="AN37">
        <f>VLOOKUP($C37,'[27]TDA HT &amp; LT'!$B$7:$V$51,20,0)</f>
        <v>0</v>
      </c>
      <c r="AO37" s="5">
        <f>VLOOKUP($C37,'[27]TDA HT &amp; LT'!$B$7:$V$51,21,0)</f>
        <v>0</v>
      </c>
      <c r="AP37" s="4">
        <f t="shared" si="0"/>
        <v>19360620.530000005</v>
      </c>
      <c r="AQ37">
        <f t="shared" si="0"/>
        <v>4329.58</v>
      </c>
      <c r="AR37">
        <f t="shared" si="0"/>
        <v>1739823.7899999996</v>
      </c>
      <c r="AS37" s="5">
        <f t="shared" si="0"/>
        <v>1739823.7899999996</v>
      </c>
      <c r="AU37" s="18">
        <v>254766</v>
      </c>
      <c r="AV37" s="18"/>
      <c r="AW37" s="18">
        <v>6369.15</v>
      </c>
      <c r="AX37" s="18">
        <v>6369.15</v>
      </c>
    </row>
    <row r="38" spans="1:50">
      <c r="A38" s="22" t="s">
        <v>54</v>
      </c>
      <c r="B38">
        <v>2220</v>
      </c>
      <c r="C38" s="18">
        <v>463</v>
      </c>
      <c r="D38" s="18">
        <v>351516.76</v>
      </c>
      <c r="E38" s="18">
        <v>19287.7</v>
      </c>
      <c r="F38" s="18">
        <v>21992.48</v>
      </c>
      <c r="G38" s="19">
        <v>21992.48</v>
      </c>
      <c r="H38" s="20"/>
      <c r="I38" s="18"/>
      <c r="J38" s="18"/>
      <c r="K38" s="19"/>
      <c r="L38" s="20"/>
      <c r="M38" s="18"/>
      <c r="N38" s="18"/>
      <c r="O38" s="18"/>
      <c r="P38" s="19"/>
      <c r="Q38" s="20"/>
      <c r="R38" s="18"/>
      <c r="S38" s="18"/>
      <c r="T38" s="18"/>
      <c r="U38" s="19"/>
      <c r="V38">
        <f>VLOOKUP($C38,'[27]TDA HT &amp; LT'!$B$7:$V$51,2,0)</f>
        <v>4181759.7599999993</v>
      </c>
      <c r="W38">
        <f>VLOOKUP($C38,'[27]TDA HT &amp; LT'!$B$7:$V$51,3,0)</f>
        <v>0</v>
      </c>
      <c r="X38">
        <f>VLOOKUP($C38,'[27]TDA HT &amp; LT'!$B$7:$V$51,4,0)</f>
        <v>375657.42000000004</v>
      </c>
      <c r="Y38">
        <f>VLOOKUP($C38,'[27]TDA HT &amp; LT'!$B$7:$V$51,5,0)</f>
        <v>375657.42000000004</v>
      </c>
      <c r="Z38" s="4">
        <f>VLOOKUP($C38,'[27]TDA HT &amp; LT'!$B$7:$V$51,6,0)</f>
        <v>0</v>
      </c>
      <c r="AA38">
        <f>VLOOKUP($C38,'[27]TDA HT &amp; LT'!$B$7:$V$51,7,0)</f>
        <v>0</v>
      </c>
      <c r="AB38">
        <f>VLOOKUP($C38,'[27]TDA HT &amp; LT'!$B$7:$V$51,8,0)</f>
        <v>0</v>
      </c>
      <c r="AC38" s="5">
        <f>VLOOKUP($C38,'[27]TDA HT &amp; LT'!$B$7:$V$51,9,0)</f>
        <v>0</v>
      </c>
      <c r="AD38" s="4">
        <f>VLOOKUP($C38,'[27]TDA HT &amp; LT'!$B$7:$V$51,10,0)</f>
        <v>4859530.7</v>
      </c>
      <c r="AE38">
        <f>VLOOKUP($C38,'[27]TDA HT &amp; LT'!$B$7:$V$51,11,0)</f>
        <v>0</v>
      </c>
      <c r="AF38">
        <f>VLOOKUP($C38,'[27]TDA HT &amp; LT'!$B$7:$V$51,12,0)</f>
        <v>437357.76</v>
      </c>
      <c r="AG38" s="5">
        <f>VLOOKUP($C38,'[27]TDA HT &amp; LT'!$B$7:$V$51,13,0)</f>
        <v>437357.76</v>
      </c>
      <c r="AH38" s="4">
        <f>VLOOKUP($C38,'[27]TDA HT &amp; LT'!$B$7:$V$51,14,0)</f>
        <v>0</v>
      </c>
      <c r="AI38">
        <f>VLOOKUP($C38,'[27]TDA HT &amp; LT'!$B$7:$V$51,15,0)</f>
        <v>0</v>
      </c>
      <c r="AJ38">
        <f>VLOOKUP($C38,'[27]TDA HT &amp; LT'!$B$7:$V$51,16,0)</f>
        <v>0</v>
      </c>
      <c r="AK38" s="5">
        <f>VLOOKUP($C38,'[27]TDA HT &amp; LT'!$B$7:$V$51,17,0)</f>
        <v>0</v>
      </c>
      <c r="AL38" s="4">
        <f>VLOOKUP($C38,'[27]TDA HT &amp; LT'!$B$7:$V$51,18,0)</f>
        <v>-5200</v>
      </c>
      <c r="AM38">
        <f>VLOOKUP($C38,'[27]TDA HT &amp; LT'!$B$7:$V$51,19,0)</f>
        <v>0</v>
      </c>
      <c r="AN38">
        <f>VLOOKUP($C38,'[27]TDA HT &amp; LT'!$B$7:$V$51,20,0)</f>
        <v>-468</v>
      </c>
      <c r="AO38" s="5">
        <f>VLOOKUP($C38,'[27]TDA HT &amp; LT'!$B$7:$V$51,21,0)</f>
        <v>-468</v>
      </c>
      <c r="AP38" s="4">
        <f t="shared" ref="AP38:AS69" si="1">D38+H38+M38+R38+V38+Z38+AD38+AH38+AL38</f>
        <v>9387607.2199999988</v>
      </c>
      <c r="AQ38">
        <f t="shared" si="1"/>
        <v>19287.7</v>
      </c>
      <c r="AR38">
        <f t="shared" si="1"/>
        <v>834539.66</v>
      </c>
      <c r="AS38" s="5">
        <f t="shared" si="1"/>
        <v>834539.66</v>
      </c>
      <c r="AU38" s="18">
        <v>270953.70999999996</v>
      </c>
      <c r="AV38" s="18"/>
      <c r="AW38" s="18">
        <v>6773.8457500000004</v>
      </c>
      <c r="AX38" s="18">
        <v>6773.8457500000004</v>
      </c>
    </row>
    <row r="39" spans="1:50">
      <c r="A39" s="22" t="s">
        <v>55</v>
      </c>
      <c r="B39">
        <v>2217</v>
      </c>
      <c r="C39">
        <v>422</v>
      </c>
      <c r="D39" s="18">
        <v>76252</v>
      </c>
      <c r="E39" s="18">
        <v>0</v>
      </c>
      <c r="F39" s="18">
        <v>6862.66</v>
      </c>
      <c r="G39" s="19">
        <v>6862.66</v>
      </c>
      <c r="H39" s="20"/>
      <c r="I39" s="18"/>
      <c r="J39" s="18"/>
      <c r="K39" s="19"/>
      <c r="L39" s="20"/>
      <c r="M39" s="18"/>
      <c r="N39" s="18"/>
      <c r="O39" s="18"/>
      <c r="P39" s="19"/>
      <c r="Q39" s="20"/>
      <c r="R39" s="18"/>
      <c r="S39" s="18"/>
      <c r="T39" s="18"/>
      <c r="U39" s="19"/>
      <c r="V39">
        <f>VLOOKUP($C39,'[27]TDA HT &amp; LT'!$B$7:$V$51,2,0)</f>
        <v>47777352.249999985</v>
      </c>
      <c r="W39">
        <f>VLOOKUP($C39,'[27]TDA HT &amp; LT'!$B$7:$V$51,3,0)</f>
        <v>0</v>
      </c>
      <c r="X39">
        <f>VLOOKUP($C39,'[27]TDA HT &amp; LT'!$B$7:$V$51,4,0)</f>
        <v>4299962.6300000008</v>
      </c>
      <c r="Y39">
        <f>VLOOKUP($C39,'[27]TDA HT &amp; LT'!$B$7:$V$51,5,0)</f>
        <v>4299962.6300000008</v>
      </c>
      <c r="Z39" s="4">
        <f>VLOOKUP($C39,'[27]TDA HT &amp; LT'!$B$7:$V$51,6,0)</f>
        <v>0</v>
      </c>
      <c r="AA39">
        <f>VLOOKUP($C39,'[27]TDA HT &amp; LT'!$B$7:$V$51,7,0)</f>
        <v>0</v>
      </c>
      <c r="AB39">
        <f>VLOOKUP($C39,'[27]TDA HT &amp; LT'!$B$7:$V$51,8,0)</f>
        <v>0</v>
      </c>
      <c r="AC39" s="5">
        <f>VLOOKUP($C39,'[27]TDA HT &amp; LT'!$B$7:$V$51,9,0)</f>
        <v>0</v>
      </c>
      <c r="AD39" s="4">
        <f>VLOOKUP($C39,'[27]TDA HT &amp; LT'!$B$7:$V$51,10,0)</f>
        <v>4484631.8</v>
      </c>
      <c r="AE39">
        <f>VLOOKUP($C39,'[27]TDA HT &amp; LT'!$B$7:$V$51,11,0)</f>
        <v>0</v>
      </c>
      <c r="AF39">
        <f>VLOOKUP($C39,'[27]TDA HT &amp; LT'!$B$7:$V$51,12,0)</f>
        <v>403616.87</v>
      </c>
      <c r="AG39" s="5">
        <f>VLOOKUP($C39,'[27]TDA HT &amp; LT'!$B$7:$V$51,13,0)</f>
        <v>403616.87</v>
      </c>
      <c r="AH39" s="4">
        <f>VLOOKUP($C39,'[27]TDA HT &amp; LT'!$B$7:$V$51,14,0)</f>
        <v>0</v>
      </c>
      <c r="AI39">
        <f>VLOOKUP($C39,'[27]TDA HT &amp; LT'!$B$7:$V$51,15,0)</f>
        <v>0</v>
      </c>
      <c r="AJ39">
        <f>VLOOKUP($C39,'[27]TDA HT &amp; LT'!$B$7:$V$51,16,0)</f>
        <v>0</v>
      </c>
      <c r="AK39" s="5">
        <f>VLOOKUP($C39,'[27]TDA HT &amp; LT'!$B$7:$V$51,17,0)</f>
        <v>0</v>
      </c>
      <c r="AL39" s="4">
        <f>VLOOKUP($C39,'[27]TDA HT &amp; LT'!$B$7:$V$51,18,0)</f>
        <v>0</v>
      </c>
      <c r="AM39">
        <f>VLOOKUP($C39,'[27]TDA HT &amp; LT'!$B$7:$V$51,19,0)</f>
        <v>0</v>
      </c>
      <c r="AN39">
        <f>VLOOKUP($C39,'[27]TDA HT &amp; LT'!$B$7:$V$51,20,0)</f>
        <v>0</v>
      </c>
      <c r="AO39" s="5">
        <f>VLOOKUP($C39,'[27]TDA HT &amp; LT'!$B$7:$V$51,21,0)</f>
        <v>0</v>
      </c>
      <c r="AP39" s="4">
        <f t="shared" si="1"/>
        <v>52338236.049999982</v>
      </c>
      <c r="AQ39">
        <f t="shared" si="1"/>
        <v>0</v>
      </c>
      <c r="AR39">
        <f t="shared" si="1"/>
        <v>4710442.1600000011</v>
      </c>
      <c r="AS39" s="5">
        <f t="shared" si="1"/>
        <v>4710442.1600000011</v>
      </c>
      <c r="AU39" s="18">
        <v>181323.71</v>
      </c>
      <c r="AV39" s="18"/>
      <c r="AW39" s="18">
        <v>4533.0927500000007</v>
      </c>
      <c r="AX39" s="18">
        <v>4533.0927500000007</v>
      </c>
    </row>
    <row r="40" spans="1:50">
      <c r="A40" s="22" t="s">
        <v>56</v>
      </c>
      <c r="B40">
        <v>2247</v>
      </c>
      <c r="C40" s="18">
        <v>900</v>
      </c>
      <c r="D40" s="18">
        <v>156343</v>
      </c>
      <c r="E40" s="18">
        <v>0</v>
      </c>
      <c r="F40" s="18">
        <v>13102.63</v>
      </c>
      <c r="G40" s="19">
        <v>13102.63</v>
      </c>
      <c r="H40" s="20"/>
      <c r="I40" s="18"/>
      <c r="J40" s="18"/>
      <c r="K40" s="19"/>
      <c r="L40" s="20"/>
      <c r="M40" s="18"/>
      <c r="N40" s="18"/>
      <c r="O40" s="18"/>
      <c r="P40" s="19"/>
      <c r="Q40" s="20"/>
      <c r="R40" s="18"/>
      <c r="S40" s="18"/>
      <c r="T40" s="18"/>
      <c r="U40" s="19"/>
      <c r="Z40" s="4"/>
      <c r="AC40" s="5"/>
      <c r="AD40" s="4"/>
      <c r="AG40" s="5"/>
      <c r="AH40" s="4"/>
      <c r="AK40" s="5"/>
      <c r="AL40" s="4"/>
      <c r="AO40" s="5"/>
      <c r="AP40" s="4">
        <f t="shared" si="1"/>
        <v>156343</v>
      </c>
      <c r="AQ40">
        <f t="shared" si="1"/>
        <v>0</v>
      </c>
      <c r="AR40">
        <f t="shared" si="1"/>
        <v>13102.63</v>
      </c>
      <c r="AS40" s="5">
        <f t="shared" si="1"/>
        <v>13102.63</v>
      </c>
      <c r="AU40" s="18"/>
      <c r="AV40" s="18"/>
      <c r="AW40" s="18"/>
      <c r="AX40" s="18"/>
    </row>
    <row r="41" spans="1:50">
      <c r="A41" s="22" t="s">
        <v>57</v>
      </c>
      <c r="B41">
        <v>2101</v>
      </c>
      <c r="C41" s="18">
        <v>999</v>
      </c>
      <c r="D41" s="18">
        <v>1011</v>
      </c>
      <c r="E41" s="18"/>
      <c r="F41" s="18">
        <v>90.99</v>
      </c>
      <c r="G41" s="19">
        <v>90.99</v>
      </c>
      <c r="H41" s="20"/>
      <c r="I41" s="18"/>
      <c r="J41" s="18"/>
      <c r="K41" s="19"/>
      <c r="L41" s="20"/>
      <c r="M41" s="18"/>
      <c r="N41" s="18"/>
      <c r="O41" s="18"/>
      <c r="P41" s="19"/>
      <c r="Q41" s="20"/>
      <c r="R41" s="18"/>
      <c r="S41" s="18"/>
      <c r="T41" s="18"/>
      <c r="U41" s="19"/>
      <c r="Z41" s="4"/>
      <c r="AC41" s="5"/>
      <c r="AD41" s="4"/>
      <c r="AG41" s="5"/>
      <c r="AH41" s="4"/>
      <c r="AK41" s="5"/>
      <c r="AL41" s="4"/>
      <c r="AO41" s="5"/>
      <c r="AP41" s="4">
        <f t="shared" si="1"/>
        <v>1011</v>
      </c>
      <c r="AQ41">
        <f t="shared" si="1"/>
        <v>0</v>
      </c>
      <c r="AR41">
        <f t="shared" si="1"/>
        <v>90.99</v>
      </c>
      <c r="AS41" s="5">
        <f t="shared" si="1"/>
        <v>90.99</v>
      </c>
      <c r="AU41" s="18"/>
      <c r="AV41" s="18"/>
      <c r="AW41" s="18"/>
      <c r="AX41" s="18"/>
    </row>
    <row r="42" spans="1:50">
      <c r="A42" s="22" t="s">
        <v>58</v>
      </c>
      <c r="B42">
        <v>2101</v>
      </c>
      <c r="C42" s="18">
        <v>999</v>
      </c>
      <c r="D42" s="18">
        <v>884767</v>
      </c>
      <c r="E42" s="18"/>
      <c r="F42" s="18">
        <v>79629.03</v>
      </c>
      <c r="G42" s="19">
        <v>79629.03</v>
      </c>
      <c r="H42" s="20"/>
      <c r="I42" s="18"/>
      <c r="J42" s="18"/>
      <c r="K42" s="19"/>
      <c r="L42" s="26" t="s">
        <v>59</v>
      </c>
      <c r="M42" s="23">
        <v>-100500</v>
      </c>
      <c r="N42" s="23">
        <v>-18090</v>
      </c>
      <c r="O42" s="23">
        <v>0</v>
      </c>
      <c r="P42" s="24">
        <v>0</v>
      </c>
      <c r="Q42" s="27"/>
      <c r="R42" s="28"/>
      <c r="S42" s="28"/>
      <c r="T42" s="28"/>
      <c r="U42" s="29"/>
      <c r="Z42" s="4"/>
      <c r="AC42" s="5"/>
      <c r="AD42" s="4"/>
      <c r="AG42" s="5"/>
      <c r="AH42" s="4"/>
      <c r="AK42" s="5"/>
      <c r="AL42" s="4"/>
      <c r="AO42" s="5"/>
      <c r="AP42" s="4">
        <f t="shared" si="1"/>
        <v>784267</v>
      </c>
      <c r="AQ42">
        <f t="shared" si="1"/>
        <v>-18090</v>
      </c>
      <c r="AR42">
        <f t="shared" si="1"/>
        <v>79629.03</v>
      </c>
      <c r="AS42" s="5">
        <f t="shared" si="1"/>
        <v>79629.03</v>
      </c>
      <c r="AU42" s="18"/>
      <c r="AV42" s="18"/>
      <c r="AW42" s="18"/>
      <c r="AX42" s="18"/>
    </row>
    <row r="43" spans="1:50">
      <c r="A43" s="22" t="s">
        <v>60</v>
      </c>
      <c r="B43">
        <v>2403</v>
      </c>
      <c r="C43" s="18">
        <v>325</v>
      </c>
      <c r="D43" s="18">
        <v>48417761.900000006</v>
      </c>
      <c r="E43" s="18">
        <v>303746.14</v>
      </c>
      <c r="F43" s="18">
        <v>1078690.4300000004</v>
      </c>
      <c r="G43" s="19">
        <v>1078690.4300000004</v>
      </c>
      <c r="H43" s="20"/>
      <c r="I43" s="18"/>
      <c r="J43" s="18"/>
      <c r="K43" s="19"/>
      <c r="L43" s="20"/>
      <c r="M43" s="18"/>
      <c r="N43" s="18"/>
      <c r="O43" s="18"/>
      <c r="P43" s="19"/>
      <c r="Q43" s="20"/>
      <c r="R43" s="18"/>
      <c r="S43" s="18"/>
      <c r="T43" s="18"/>
      <c r="U43" s="19"/>
      <c r="Z43" s="4"/>
      <c r="AC43" s="5"/>
      <c r="AD43" s="4"/>
      <c r="AG43" s="5"/>
      <c r="AH43" s="4"/>
      <c r="AK43" s="5"/>
      <c r="AL43" s="4"/>
      <c r="AO43" s="5"/>
      <c r="AP43" s="4">
        <f t="shared" si="1"/>
        <v>48417761.900000006</v>
      </c>
      <c r="AQ43">
        <f t="shared" si="1"/>
        <v>303746.14</v>
      </c>
      <c r="AR43">
        <f t="shared" si="1"/>
        <v>1078690.4300000004</v>
      </c>
      <c r="AS43" s="5">
        <f t="shared" si="1"/>
        <v>1078690.4300000004</v>
      </c>
      <c r="AU43" s="18">
        <v>398100</v>
      </c>
      <c r="AV43" s="18"/>
      <c r="AW43" s="18">
        <v>9952.9800000000014</v>
      </c>
      <c r="AX43" s="18">
        <v>9952.9800000000014</v>
      </c>
    </row>
    <row r="44" spans="1:50">
      <c r="A44" s="22" t="s">
        <v>61</v>
      </c>
      <c r="B44">
        <v>2405</v>
      </c>
      <c r="C44" s="18">
        <v>335</v>
      </c>
      <c r="D44" s="18">
        <v>10402193.01999999</v>
      </c>
      <c r="E44" s="18">
        <v>49553.27</v>
      </c>
      <c r="F44" s="18">
        <v>318232.61000000022</v>
      </c>
      <c r="G44" s="19">
        <v>318232.61000000022</v>
      </c>
      <c r="H44" s="20"/>
      <c r="I44" s="18"/>
      <c r="J44" s="18"/>
      <c r="K44" s="19"/>
      <c r="L44" s="20"/>
      <c r="M44" s="18"/>
      <c r="N44" s="18"/>
      <c r="O44" s="18"/>
      <c r="P44" s="19"/>
      <c r="Q44" s="20"/>
      <c r="R44" s="18"/>
      <c r="S44" s="18"/>
      <c r="T44" s="18"/>
      <c r="U44" s="19"/>
      <c r="Z44" s="4"/>
      <c r="AC44" s="5"/>
      <c r="AD44" s="4"/>
      <c r="AG44" s="5"/>
      <c r="AH44" s="4"/>
      <c r="AK44" s="5"/>
      <c r="AL44" s="4"/>
      <c r="AO44" s="5"/>
      <c r="AP44" s="4">
        <f t="shared" si="1"/>
        <v>10402193.01999999</v>
      </c>
      <c r="AQ44">
        <f t="shared" si="1"/>
        <v>49553.27</v>
      </c>
      <c r="AR44">
        <f t="shared" si="1"/>
        <v>318232.61000000022</v>
      </c>
      <c r="AS44" s="5">
        <f t="shared" si="1"/>
        <v>318232.61000000022</v>
      </c>
      <c r="AU44" s="18">
        <v>593149</v>
      </c>
      <c r="AV44" s="18"/>
      <c r="AW44" s="18">
        <v>14828.275</v>
      </c>
      <c r="AX44" s="18">
        <v>14828.275</v>
      </c>
    </row>
    <row r="45" spans="1:50">
      <c r="A45" s="22" t="s">
        <v>62</v>
      </c>
      <c r="B45">
        <v>2234</v>
      </c>
      <c r="C45" s="18">
        <v>445</v>
      </c>
      <c r="D45" s="18">
        <v>2821014.35</v>
      </c>
      <c r="E45" s="18"/>
      <c r="F45" s="18">
        <v>253891.29</v>
      </c>
      <c r="G45" s="19">
        <v>253891.29</v>
      </c>
      <c r="H45" s="20"/>
      <c r="I45" s="18"/>
      <c r="J45" s="18"/>
      <c r="K45" s="19"/>
      <c r="L45" s="20"/>
      <c r="M45" s="18"/>
      <c r="N45" s="18"/>
      <c r="O45" s="18"/>
      <c r="P45" s="19"/>
      <c r="Q45" s="20"/>
      <c r="R45" s="18"/>
      <c r="S45" s="18"/>
      <c r="T45" s="18"/>
      <c r="U45" s="19"/>
      <c r="V45">
        <f>VLOOKUP($C45,'[27]TDA HT &amp; LT'!$B$7:$V$51,2,0)</f>
        <v>147896</v>
      </c>
      <c r="W45">
        <f>VLOOKUP($C45,'[27]TDA HT &amp; LT'!$B$7:$V$51,3,0)</f>
        <v>0</v>
      </c>
      <c r="X45">
        <f>VLOOKUP($C45,'[27]TDA HT &amp; LT'!$B$7:$V$51,4,0)</f>
        <v>13310.64</v>
      </c>
      <c r="Y45">
        <f>VLOOKUP($C45,'[27]TDA HT &amp; LT'!$B$7:$V$51,5,0)</f>
        <v>13310.64</v>
      </c>
      <c r="Z45" s="4">
        <f>VLOOKUP($C45,'[27]TDA HT &amp; LT'!$B$7:$V$51,6,0)</f>
        <v>2600</v>
      </c>
      <c r="AA45">
        <f>VLOOKUP($C45,'[27]TDA HT &amp; LT'!$B$7:$V$51,7,0)</f>
        <v>0</v>
      </c>
      <c r="AB45">
        <f>VLOOKUP($C45,'[27]TDA HT &amp; LT'!$B$7:$V$51,8,0)</f>
        <v>234</v>
      </c>
      <c r="AC45" s="5">
        <f>VLOOKUP($C45,'[27]TDA HT &amp; LT'!$B$7:$V$51,9,0)</f>
        <v>234</v>
      </c>
      <c r="AD45" s="4">
        <f>VLOOKUP($C45,'[27]TDA HT &amp; LT'!$B$7:$V$51,10,0)</f>
        <v>4157938.36</v>
      </c>
      <c r="AE45">
        <f>VLOOKUP($C45,'[27]TDA HT &amp; LT'!$B$7:$V$51,11,0)</f>
        <v>0</v>
      </c>
      <c r="AF45">
        <f>VLOOKUP($C45,'[27]TDA HT &amp; LT'!$B$7:$V$51,12,0)</f>
        <v>374214.45</v>
      </c>
      <c r="AG45" s="5">
        <f>VLOOKUP($C45,'[27]TDA HT &amp; LT'!$B$7:$V$51,13,0)</f>
        <v>374214.45</v>
      </c>
      <c r="AH45" s="4">
        <f>VLOOKUP($C45,'[27]TDA HT &amp; LT'!$B$7:$V$51,14,0)</f>
        <v>0</v>
      </c>
      <c r="AI45">
        <f>VLOOKUP($C45,'[27]TDA HT &amp; LT'!$B$7:$V$51,15,0)</f>
        <v>0</v>
      </c>
      <c r="AJ45">
        <f>VLOOKUP($C45,'[27]TDA HT &amp; LT'!$B$7:$V$51,16,0)</f>
        <v>0</v>
      </c>
      <c r="AK45" s="5">
        <f>VLOOKUP($C45,'[27]TDA HT &amp; LT'!$B$7:$V$51,17,0)</f>
        <v>0</v>
      </c>
      <c r="AL45" s="4">
        <f>VLOOKUP($C45,'[27]TDA HT &amp; LT'!$B$7:$V$51,18,0)</f>
        <v>0</v>
      </c>
      <c r="AM45">
        <f>VLOOKUP($C45,'[27]TDA HT &amp; LT'!$B$7:$V$51,19,0)</f>
        <v>0</v>
      </c>
      <c r="AN45">
        <f>VLOOKUP($C45,'[27]TDA HT &amp; LT'!$B$7:$V$51,20,0)</f>
        <v>0</v>
      </c>
      <c r="AO45" s="5">
        <f>VLOOKUP($C45,'[27]TDA HT &amp; LT'!$B$7:$V$51,21,0)</f>
        <v>0</v>
      </c>
      <c r="AP45" s="4">
        <f t="shared" si="1"/>
        <v>7129448.71</v>
      </c>
      <c r="AQ45">
        <f t="shared" si="1"/>
        <v>0</v>
      </c>
      <c r="AR45">
        <f t="shared" si="1"/>
        <v>641650.38</v>
      </c>
      <c r="AS45" s="5">
        <f t="shared" si="1"/>
        <v>641650.38</v>
      </c>
      <c r="AU45" s="18">
        <v>134473.51</v>
      </c>
      <c r="AV45" s="18"/>
      <c r="AW45" s="18">
        <v>3361.8377500000001</v>
      </c>
      <c r="AX45" s="18">
        <v>3361.8377500000001</v>
      </c>
    </row>
    <row r="46" spans="1:50">
      <c r="A46" s="22" t="s">
        <v>63</v>
      </c>
      <c r="B46">
        <v>2218</v>
      </c>
      <c r="C46" s="18">
        <v>437</v>
      </c>
      <c r="D46" s="18">
        <v>173804</v>
      </c>
      <c r="E46" s="18">
        <v>25920</v>
      </c>
      <c r="F46" s="18">
        <v>2682.36</v>
      </c>
      <c r="G46" s="19">
        <v>2682.36</v>
      </c>
      <c r="H46" s="20"/>
      <c r="I46" s="18"/>
      <c r="J46" s="18"/>
      <c r="K46" s="19"/>
      <c r="L46" s="30"/>
      <c r="M46" s="18"/>
      <c r="N46" s="18"/>
      <c r="O46" s="18"/>
      <c r="P46" s="19"/>
      <c r="Q46" s="30"/>
      <c r="R46" s="18"/>
      <c r="S46" s="18"/>
      <c r="T46" s="18"/>
      <c r="U46" s="19"/>
      <c r="V46">
        <f>VLOOKUP($C46,'[27]TDA HT &amp; LT'!$B$7:$V$51,2,0)</f>
        <v>12177347.879999999</v>
      </c>
      <c r="W46">
        <f>VLOOKUP($C46,'[27]TDA HT &amp; LT'!$B$7:$V$51,3,0)</f>
        <v>0</v>
      </c>
      <c r="X46">
        <f>VLOOKUP($C46,'[27]TDA HT &amp; LT'!$B$7:$V$51,4,0)</f>
        <v>1095962.22</v>
      </c>
      <c r="Y46">
        <f>VLOOKUP($C46,'[27]TDA HT &amp; LT'!$B$7:$V$51,5,0)</f>
        <v>1095962.22</v>
      </c>
      <c r="Z46" s="4">
        <f>VLOOKUP($C46,'[27]TDA HT &amp; LT'!$B$7:$V$51,6,0)</f>
        <v>0</v>
      </c>
      <c r="AA46">
        <f>VLOOKUP($C46,'[27]TDA HT &amp; LT'!$B$7:$V$51,7,0)</f>
        <v>0</v>
      </c>
      <c r="AB46">
        <f>VLOOKUP($C46,'[27]TDA HT &amp; LT'!$B$7:$V$51,8,0)</f>
        <v>0</v>
      </c>
      <c r="AC46" s="5">
        <f>VLOOKUP($C46,'[27]TDA HT &amp; LT'!$B$7:$V$51,9,0)</f>
        <v>0</v>
      </c>
      <c r="AD46" s="4">
        <f>VLOOKUP($C46,'[27]TDA HT &amp; LT'!$B$7:$V$51,10,0)</f>
        <v>3553194.54</v>
      </c>
      <c r="AE46">
        <f>VLOOKUP($C46,'[27]TDA HT &amp; LT'!$B$7:$V$51,11,0)</f>
        <v>0</v>
      </c>
      <c r="AF46">
        <f>VLOOKUP($C46,'[27]TDA HT &amp; LT'!$B$7:$V$51,12,0)</f>
        <v>319787.51999999996</v>
      </c>
      <c r="AG46" s="5">
        <f>VLOOKUP($C46,'[27]TDA HT &amp; LT'!$B$7:$V$51,13,0)</f>
        <v>319787.51999999996</v>
      </c>
      <c r="AH46" s="4">
        <f>VLOOKUP($C46,'[27]TDA HT &amp; LT'!$B$7:$V$51,14,0)</f>
        <v>0</v>
      </c>
      <c r="AI46">
        <f>VLOOKUP($C46,'[27]TDA HT &amp; LT'!$B$7:$V$51,15,0)</f>
        <v>0</v>
      </c>
      <c r="AJ46">
        <f>VLOOKUP($C46,'[27]TDA HT &amp; LT'!$B$7:$V$51,16,0)</f>
        <v>0</v>
      </c>
      <c r="AK46" s="5">
        <f>VLOOKUP($C46,'[27]TDA HT &amp; LT'!$B$7:$V$51,17,0)</f>
        <v>0</v>
      </c>
      <c r="AL46" s="4">
        <f>VLOOKUP($C46,'[27]TDA HT &amp; LT'!$B$7:$V$51,18,0)</f>
        <v>0</v>
      </c>
      <c r="AM46">
        <f>VLOOKUP($C46,'[27]TDA HT &amp; LT'!$B$7:$V$51,19,0)</f>
        <v>0</v>
      </c>
      <c r="AN46">
        <f>VLOOKUP($C46,'[27]TDA HT &amp; LT'!$B$7:$V$51,20,0)</f>
        <v>0</v>
      </c>
      <c r="AO46" s="5">
        <f>VLOOKUP($C46,'[27]TDA HT &amp; LT'!$B$7:$V$51,21,0)</f>
        <v>0</v>
      </c>
      <c r="AP46" s="4">
        <f t="shared" si="1"/>
        <v>15904346.419999998</v>
      </c>
      <c r="AQ46">
        <f t="shared" si="1"/>
        <v>25920</v>
      </c>
      <c r="AR46">
        <f t="shared" si="1"/>
        <v>1418432.1</v>
      </c>
      <c r="AS46" s="5">
        <f t="shared" si="1"/>
        <v>1418432.1</v>
      </c>
      <c r="AU46" s="18">
        <v>199515</v>
      </c>
      <c r="AV46" s="18"/>
      <c r="AW46" s="18">
        <v>4987.875</v>
      </c>
      <c r="AX46" s="18">
        <v>4987.875</v>
      </c>
    </row>
    <row r="47" spans="1:50">
      <c r="A47" s="22" t="s">
        <v>64</v>
      </c>
      <c r="B47">
        <v>2404</v>
      </c>
      <c r="C47" s="18">
        <v>330</v>
      </c>
      <c r="D47" s="18">
        <v>112326893.72</v>
      </c>
      <c r="E47" s="18"/>
      <c r="F47" s="18">
        <v>9999301.7799999975</v>
      </c>
      <c r="G47" s="19">
        <v>9999301.7799999975</v>
      </c>
      <c r="H47" s="20"/>
      <c r="I47" s="18"/>
      <c r="J47" s="18"/>
      <c r="K47" s="19"/>
      <c r="L47" s="20"/>
      <c r="M47" s="18"/>
      <c r="N47" s="18"/>
      <c r="O47" s="18"/>
      <c r="P47" s="19"/>
      <c r="Q47" s="20"/>
      <c r="R47" s="18"/>
      <c r="S47" s="18"/>
      <c r="T47" s="18"/>
      <c r="U47" s="19"/>
      <c r="Z47" s="4"/>
      <c r="AC47" s="5"/>
      <c r="AD47" s="4"/>
      <c r="AG47" s="5"/>
      <c r="AH47" s="4"/>
      <c r="AK47" s="5"/>
      <c r="AL47" s="4"/>
      <c r="AO47" s="5"/>
      <c r="AP47" s="4">
        <f t="shared" si="1"/>
        <v>112326893.72</v>
      </c>
      <c r="AQ47">
        <f t="shared" si="1"/>
        <v>0</v>
      </c>
      <c r="AR47">
        <f t="shared" si="1"/>
        <v>9999301.7799999975</v>
      </c>
      <c r="AS47" s="5">
        <f t="shared" si="1"/>
        <v>9999301.7799999975</v>
      </c>
      <c r="AU47" s="18">
        <v>913631</v>
      </c>
      <c r="AV47" s="18"/>
      <c r="AW47" s="18">
        <v>22840.775000000001</v>
      </c>
      <c r="AX47" s="18">
        <v>22840.775000000001</v>
      </c>
    </row>
    <row r="48" spans="1:50">
      <c r="A48" s="22" t="s">
        <v>65</v>
      </c>
      <c r="B48">
        <v>2406</v>
      </c>
      <c r="C48" s="18">
        <v>340</v>
      </c>
      <c r="D48" s="18">
        <v>8015808</v>
      </c>
      <c r="E48" s="18">
        <v>34632</v>
      </c>
      <c r="F48" s="18">
        <v>334232.20999999996</v>
      </c>
      <c r="G48" s="19">
        <v>334232.20999999996</v>
      </c>
      <c r="H48" s="20"/>
      <c r="I48" s="18"/>
      <c r="J48" s="18"/>
      <c r="K48" s="19"/>
      <c r="L48" s="31" t="s">
        <v>49</v>
      </c>
      <c r="M48" s="32"/>
      <c r="N48" s="32"/>
      <c r="O48" s="32"/>
      <c r="P48" s="33"/>
      <c r="Q48" s="20"/>
      <c r="R48" s="18"/>
      <c r="S48" s="18"/>
      <c r="T48" s="18"/>
      <c r="U48" s="19"/>
      <c r="Z48" s="4"/>
      <c r="AC48" s="5"/>
      <c r="AD48" s="4"/>
      <c r="AG48" s="5"/>
      <c r="AH48" s="4"/>
      <c r="AK48" s="5"/>
      <c r="AL48" s="4"/>
      <c r="AO48" s="5"/>
      <c r="AP48" s="4">
        <f t="shared" si="1"/>
        <v>8015808</v>
      </c>
      <c r="AQ48">
        <f t="shared" si="1"/>
        <v>34632</v>
      </c>
      <c r="AR48">
        <f t="shared" si="1"/>
        <v>334232.20999999996</v>
      </c>
      <c r="AS48" s="5">
        <f t="shared" si="1"/>
        <v>334232.20999999996</v>
      </c>
      <c r="AU48" s="18">
        <v>700819</v>
      </c>
      <c r="AV48" s="18"/>
      <c r="AW48" s="18">
        <v>17519</v>
      </c>
      <c r="AX48" s="18">
        <v>17519</v>
      </c>
    </row>
    <row r="49" spans="1:50">
      <c r="A49" s="22" t="s">
        <v>66</v>
      </c>
      <c r="B49">
        <v>2408</v>
      </c>
      <c r="C49" s="18">
        <v>825</v>
      </c>
      <c r="D49" s="18">
        <v>744</v>
      </c>
      <c r="E49" s="18"/>
      <c r="F49" s="18">
        <v>67</v>
      </c>
      <c r="G49" s="19">
        <v>67</v>
      </c>
      <c r="H49" s="20"/>
      <c r="I49" s="18"/>
      <c r="J49" s="18"/>
      <c r="K49" s="19"/>
      <c r="L49" s="20"/>
      <c r="M49" s="18"/>
      <c r="N49" s="18"/>
      <c r="O49" s="18"/>
      <c r="P49" s="19"/>
      <c r="Q49" s="20"/>
      <c r="R49" s="18"/>
      <c r="S49" s="18"/>
      <c r="T49" s="18"/>
      <c r="U49" s="19"/>
      <c r="Z49" s="4"/>
      <c r="AC49" s="5"/>
      <c r="AD49" s="4"/>
      <c r="AG49" s="5"/>
      <c r="AH49" s="4"/>
      <c r="AK49" s="5"/>
      <c r="AL49" s="4"/>
      <c r="AO49" s="5"/>
      <c r="AP49" s="4">
        <f t="shared" si="1"/>
        <v>744</v>
      </c>
      <c r="AQ49">
        <f t="shared" si="1"/>
        <v>0</v>
      </c>
      <c r="AR49">
        <f t="shared" si="1"/>
        <v>67</v>
      </c>
      <c r="AS49" s="5">
        <f t="shared" si="1"/>
        <v>67</v>
      </c>
      <c r="AU49" s="18">
        <v>565714</v>
      </c>
      <c r="AV49" s="18"/>
      <c r="AW49" s="18">
        <v>14144</v>
      </c>
      <c r="AX49" s="18">
        <v>14144</v>
      </c>
    </row>
    <row r="50" spans="1:50">
      <c r="A50" s="22" t="s">
        <v>67</v>
      </c>
      <c r="B50">
        <v>2213</v>
      </c>
      <c r="C50" s="18">
        <v>482</v>
      </c>
      <c r="D50" s="18"/>
      <c r="E50" s="18"/>
      <c r="F50" s="18"/>
      <c r="G50" s="19"/>
      <c r="H50" s="20"/>
      <c r="I50" s="18"/>
      <c r="J50" s="18"/>
      <c r="K50" s="19"/>
      <c r="L50" s="20"/>
      <c r="M50" s="18"/>
      <c r="N50" s="18"/>
      <c r="O50" s="18"/>
      <c r="P50" s="19"/>
      <c r="Q50" s="20"/>
      <c r="R50" s="18"/>
      <c r="S50" s="18"/>
      <c r="T50" s="18"/>
      <c r="U50" s="19"/>
      <c r="V50">
        <f>VLOOKUP($C50,'[27]TDA HT &amp; LT'!$B$7:$V$51,2,0)</f>
        <v>1109261.76</v>
      </c>
      <c r="W50">
        <f>VLOOKUP($C50,'[27]TDA HT &amp; LT'!$B$7:$V$51,3,0)</f>
        <v>0</v>
      </c>
      <c r="X50">
        <f>VLOOKUP($C50,'[27]TDA HT &amp; LT'!$B$7:$V$51,4,0)</f>
        <v>99834.76</v>
      </c>
      <c r="Y50">
        <f>VLOOKUP($C50,'[27]TDA HT &amp; LT'!$B$7:$V$51,5,0)</f>
        <v>99834.76</v>
      </c>
      <c r="Z50" s="4">
        <f>VLOOKUP($C50,'[27]TDA HT &amp; LT'!$B$7:$V$51,6,0)</f>
        <v>0</v>
      </c>
      <c r="AA50">
        <f>VLOOKUP($C50,'[27]TDA HT &amp; LT'!$B$7:$V$51,7,0)</f>
        <v>0</v>
      </c>
      <c r="AB50">
        <f>VLOOKUP($C50,'[27]TDA HT &amp; LT'!$B$7:$V$51,8,0)</f>
        <v>0</v>
      </c>
      <c r="AC50" s="5">
        <f>VLOOKUP($C50,'[27]TDA HT &amp; LT'!$B$7:$V$51,9,0)</f>
        <v>0</v>
      </c>
      <c r="AD50" s="4">
        <f>VLOOKUP($C50,'[27]TDA HT &amp; LT'!$B$7:$V$51,10,0)</f>
        <v>1656209.34</v>
      </c>
      <c r="AE50">
        <f>VLOOKUP($C50,'[27]TDA HT &amp; LT'!$B$7:$V$51,11,0)</f>
        <v>0</v>
      </c>
      <c r="AF50">
        <f>VLOOKUP($C50,'[27]TDA HT &amp; LT'!$B$7:$V$51,12,0)</f>
        <v>149058.84</v>
      </c>
      <c r="AG50" s="5">
        <f>VLOOKUP($C50,'[27]TDA HT &amp; LT'!$B$7:$V$51,13,0)</f>
        <v>149058.84</v>
      </c>
      <c r="AH50" s="4">
        <f>VLOOKUP($C50,'[27]TDA HT &amp; LT'!$B$7:$V$51,14,0)</f>
        <v>0</v>
      </c>
      <c r="AI50">
        <f>VLOOKUP($C50,'[27]TDA HT &amp; LT'!$B$7:$V$51,15,0)</f>
        <v>0</v>
      </c>
      <c r="AJ50">
        <f>VLOOKUP($C50,'[27]TDA HT &amp; LT'!$B$7:$V$51,16,0)</f>
        <v>0</v>
      </c>
      <c r="AK50" s="5">
        <f>VLOOKUP($C50,'[27]TDA HT &amp; LT'!$B$7:$V$51,17,0)</f>
        <v>0</v>
      </c>
      <c r="AL50" s="4">
        <f>VLOOKUP($C50,'[27]TDA HT &amp; LT'!$B$7:$V$51,18,0)</f>
        <v>0</v>
      </c>
      <c r="AM50">
        <f>VLOOKUP($C50,'[27]TDA HT &amp; LT'!$B$7:$V$51,19,0)</f>
        <v>0</v>
      </c>
      <c r="AN50">
        <f>VLOOKUP($C50,'[27]TDA HT &amp; LT'!$B$7:$V$51,20,0)</f>
        <v>0</v>
      </c>
      <c r="AO50" s="5">
        <f>VLOOKUP($C50,'[27]TDA HT &amp; LT'!$B$7:$V$51,21,0)</f>
        <v>0</v>
      </c>
      <c r="AP50" s="4">
        <f t="shared" si="1"/>
        <v>2765471.1</v>
      </c>
      <c r="AQ50">
        <f t="shared" si="1"/>
        <v>0</v>
      </c>
      <c r="AR50">
        <f t="shared" si="1"/>
        <v>248893.59999999998</v>
      </c>
      <c r="AS50" s="5">
        <f t="shared" si="1"/>
        <v>248893.59999999998</v>
      </c>
      <c r="AU50" s="18">
        <v>404240</v>
      </c>
      <c r="AV50" s="18"/>
      <c r="AW50" s="18">
        <v>10106.000000000002</v>
      </c>
      <c r="AX50" s="18">
        <v>10106.000000000002</v>
      </c>
    </row>
    <row r="51" spans="1:50">
      <c r="A51" s="22" t="s">
        <v>68</v>
      </c>
      <c r="B51">
        <v>2214</v>
      </c>
      <c r="C51" s="18">
        <v>439</v>
      </c>
      <c r="D51" s="18">
        <v>10543</v>
      </c>
      <c r="E51" s="18"/>
      <c r="F51" s="18">
        <v>949</v>
      </c>
      <c r="G51" s="19">
        <v>949</v>
      </c>
      <c r="H51" s="20"/>
      <c r="I51" s="18"/>
      <c r="J51" s="18"/>
      <c r="K51" s="19"/>
      <c r="L51" s="20"/>
      <c r="M51" s="18"/>
      <c r="N51" s="18"/>
      <c r="O51" s="18"/>
      <c r="P51" s="19"/>
      <c r="Q51" s="20"/>
      <c r="R51" s="18">
        <v>0</v>
      </c>
      <c r="S51" s="18">
        <v>0</v>
      </c>
      <c r="T51" s="18">
        <v>800</v>
      </c>
      <c r="U51" s="19">
        <v>800</v>
      </c>
      <c r="V51">
        <f>VLOOKUP($C51,'[27]TDA HT &amp; LT'!$B$7:$V$51,2,0)</f>
        <v>21030692.990000002</v>
      </c>
      <c r="W51">
        <f>VLOOKUP($C51,'[27]TDA HT &amp; LT'!$B$7:$V$51,3,0)</f>
        <v>0</v>
      </c>
      <c r="X51">
        <f>VLOOKUP($C51,'[27]TDA HT &amp; LT'!$B$7:$V$51,4,0)</f>
        <v>1892762.5199999996</v>
      </c>
      <c r="Y51">
        <f>VLOOKUP($C51,'[27]TDA HT &amp; LT'!$B$7:$V$51,5,0)</f>
        <v>1892762.5199999996</v>
      </c>
      <c r="Z51" s="4">
        <f>VLOOKUP($C51,'[27]TDA HT &amp; LT'!$B$7:$V$51,6,0)</f>
        <v>10400</v>
      </c>
      <c r="AA51">
        <f>VLOOKUP($C51,'[27]TDA HT &amp; LT'!$B$7:$V$51,7,0)</f>
        <v>0</v>
      </c>
      <c r="AB51">
        <f>VLOOKUP($C51,'[27]TDA HT &amp; LT'!$B$7:$V$51,8,0)</f>
        <v>468</v>
      </c>
      <c r="AC51" s="5">
        <f>VLOOKUP($C51,'[27]TDA HT &amp; LT'!$B$7:$V$51,9,0)</f>
        <v>468</v>
      </c>
      <c r="AD51" s="4">
        <f>VLOOKUP($C51,'[27]TDA HT &amp; LT'!$B$7:$V$51,10,0)</f>
        <v>3128211.78</v>
      </c>
      <c r="AE51">
        <f>VLOOKUP($C51,'[27]TDA HT &amp; LT'!$B$7:$V$51,11,0)</f>
        <v>0</v>
      </c>
      <c r="AF51">
        <f>VLOOKUP($C51,'[27]TDA HT &amp; LT'!$B$7:$V$51,12,0)</f>
        <v>281539.06</v>
      </c>
      <c r="AG51" s="5">
        <f>VLOOKUP($C51,'[27]TDA HT &amp; LT'!$B$7:$V$51,13,0)</f>
        <v>281539.06</v>
      </c>
      <c r="AH51" s="4">
        <f>VLOOKUP($C51,'[27]TDA HT &amp; LT'!$B$7:$V$51,14,0)</f>
        <v>31791.749999985099</v>
      </c>
      <c r="AI51">
        <f>VLOOKUP($C51,'[27]TDA HT &amp; LT'!$B$7:$V$51,15,0)</f>
        <v>3072.96</v>
      </c>
      <c r="AJ51">
        <f>VLOOKUP($C51,'[27]TDA HT &amp; LT'!$B$7:$V$51,16,0)</f>
        <v>1324.7800000002608</v>
      </c>
      <c r="AK51" s="5">
        <f>VLOOKUP($C51,'[27]TDA HT &amp; LT'!$B$7:$V$51,17,0)</f>
        <v>1324.7800000002608</v>
      </c>
      <c r="AL51" s="4">
        <f>VLOOKUP($C51,'[27]TDA HT &amp; LT'!$B$7:$V$51,18,0)</f>
        <v>0</v>
      </c>
      <c r="AM51">
        <f>VLOOKUP($C51,'[27]TDA HT &amp; LT'!$B$7:$V$51,19,0)</f>
        <v>0</v>
      </c>
      <c r="AN51">
        <f>VLOOKUP($C51,'[27]TDA HT &amp; LT'!$B$7:$V$51,20,0)</f>
        <v>0</v>
      </c>
      <c r="AO51" s="5">
        <f>VLOOKUP($C51,'[27]TDA HT &amp; LT'!$B$7:$V$51,21,0)</f>
        <v>0</v>
      </c>
      <c r="AP51" s="4">
        <f t="shared" si="1"/>
        <v>24211639.519999988</v>
      </c>
      <c r="AQ51">
        <f t="shared" si="1"/>
        <v>3072.96</v>
      </c>
      <c r="AR51">
        <f t="shared" si="1"/>
        <v>2177843.36</v>
      </c>
      <c r="AS51" s="5">
        <f t="shared" si="1"/>
        <v>2177843.36</v>
      </c>
      <c r="AU51" s="18">
        <v>242182</v>
      </c>
      <c r="AV51" s="18"/>
      <c r="AW51" s="18">
        <v>6054.55</v>
      </c>
      <c r="AX51" s="18">
        <v>6054.55</v>
      </c>
    </row>
    <row r="52" spans="1:50">
      <c r="A52" s="22" t="s">
        <v>69</v>
      </c>
      <c r="B52">
        <v>2230</v>
      </c>
      <c r="C52" s="18">
        <v>440</v>
      </c>
      <c r="D52" s="18">
        <v>101828.7</v>
      </c>
      <c r="E52" s="18">
        <v>9346.32</v>
      </c>
      <c r="F52" s="18">
        <v>4491.4199999999992</v>
      </c>
      <c r="G52" s="19">
        <v>4491.4199999999992</v>
      </c>
      <c r="H52" s="20"/>
      <c r="I52" s="18"/>
      <c r="J52" s="18"/>
      <c r="K52" s="19"/>
      <c r="L52" s="20"/>
      <c r="M52" s="18"/>
      <c r="N52" s="18"/>
      <c r="O52" s="18"/>
      <c r="P52" s="19"/>
      <c r="Q52" s="20"/>
      <c r="R52" s="18"/>
      <c r="S52" s="18"/>
      <c r="T52" s="18"/>
      <c r="U52" s="19"/>
      <c r="V52">
        <f>VLOOKUP($C52,'[27]TDA HT &amp; LT'!$B$7:$V$51,2,0)</f>
        <v>13270672.43</v>
      </c>
      <c r="W52">
        <f>VLOOKUP($C52,'[27]TDA HT &amp; LT'!$B$7:$V$51,3,0)</f>
        <v>0</v>
      </c>
      <c r="X52">
        <f>VLOOKUP($C52,'[27]TDA HT &amp; LT'!$B$7:$V$51,4,0)</f>
        <v>1193424.3999999999</v>
      </c>
      <c r="Y52">
        <f>VLOOKUP($C52,'[27]TDA HT &amp; LT'!$B$7:$V$51,5,0)</f>
        <v>1193424.3999999999</v>
      </c>
      <c r="Z52" s="4">
        <f>VLOOKUP($C52,'[27]TDA HT &amp; LT'!$B$7:$V$51,6,0)</f>
        <v>10400</v>
      </c>
      <c r="AA52">
        <f>VLOOKUP($C52,'[27]TDA HT &amp; LT'!$B$7:$V$51,7,0)</f>
        <v>0</v>
      </c>
      <c r="AB52">
        <f>VLOOKUP($C52,'[27]TDA HT &amp; LT'!$B$7:$V$51,8,0)</f>
        <v>0</v>
      </c>
      <c r="AC52" s="5">
        <f>VLOOKUP($C52,'[27]TDA HT &amp; LT'!$B$7:$V$51,9,0)</f>
        <v>0</v>
      </c>
      <c r="AD52" s="4">
        <f>VLOOKUP($C52,'[27]TDA HT &amp; LT'!$B$7:$V$51,10,0)</f>
        <v>3182470.14</v>
      </c>
      <c r="AE52">
        <f>VLOOKUP($C52,'[27]TDA HT &amp; LT'!$B$7:$V$51,11,0)</f>
        <v>0</v>
      </c>
      <c r="AF52">
        <f>VLOOKUP($C52,'[27]TDA HT &amp; LT'!$B$7:$V$51,12,0)</f>
        <v>286422.3</v>
      </c>
      <c r="AG52" s="5">
        <f>VLOOKUP($C52,'[27]TDA HT &amp; LT'!$B$7:$V$51,13,0)</f>
        <v>286422.3</v>
      </c>
      <c r="AH52" s="4">
        <f>VLOOKUP($C52,'[27]TDA HT &amp; LT'!$B$7:$V$51,14,0)</f>
        <v>205886</v>
      </c>
      <c r="AI52">
        <f>VLOOKUP($C52,'[27]TDA HT &amp; LT'!$B$7:$V$51,15,0)</f>
        <v>0</v>
      </c>
      <c r="AJ52">
        <f>VLOOKUP($C52,'[27]TDA HT &amp; LT'!$B$7:$V$51,16,0)</f>
        <v>18529.259999999893</v>
      </c>
      <c r="AK52" s="5">
        <f>VLOOKUP($C52,'[27]TDA HT &amp; LT'!$B$7:$V$51,17,0)</f>
        <v>18529.259999999893</v>
      </c>
      <c r="AL52" s="4">
        <f>VLOOKUP($C52,'[27]TDA HT &amp; LT'!$B$7:$V$51,18,0)</f>
        <v>4270</v>
      </c>
      <c r="AM52">
        <f>VLOOKUP($C52,'[27]TDA HT &amp; LT'!$B$7:$V$51,19,0)</f>
        <v>0</v>
      </c>
      <c r="AN52">
        <f>VLOOKUP($C52,'[27]TDA HT &amp; LT'!$B$7:$V$51,20,0)</f>
        <v>618</v>
      </c>
      <c r="AO52" s="5">
        <f>VLOOKUP($C52,'[27]TDA HT &amp; LT'!$B$7:$V$51,21,0)</f>
        <v>618</v>
      </c>
      <c r="AP52" s="4">
        <f t="shared" si="1"/>
        <v>16775527.27</v>
      </c>
      <c r="AQ52">
        <f t="shared" si="1"/>
        <v>9346.32</v>
      </c>
      <c r="AR52">
        <f t="shared" si="1"/>
        <v>1503485.38</v>
      </c>
      <c r="AS52" s="5">
        <f t="shared" si="1"/>
        <v>1503485.38</v>
      </c>
      <c r="AU52" s="18">
        <v>70669</v>
      </c>
      <c r="AV52" s="18"/>
      <c r="AW52" s="18">
        <v>1766.7249999999999</v>
      </c>
      <c r="AX52" s="18">
        <v>1766.7250000000001</v>
      </c>
    </row>
    <row r="53" spans="1:50">
      <c r="A53" s="22" t="s">
        <v>70</v>
      </c>
      <c r="B53">
        <v>2101</v>
      </c>
      <c r="C53" s="18">
        <v>999</v>
      </c>
      <c r="D53" s="18"/>
      <c r="E53" s="18"/>
      <c r="F53" s="18"/>
      <c r="G53" s="19"/>
      <c r="H53" s="20"/>
      <c r="I53" s="18"/>
      <c r="J53" s="18"/>
      <c r="K53" s="19"/>
      <c r="L53" s="20"/>
      <c r="M53" s="18"/>
      <c r="N53" s="18"/>
      <c r="O53" s="18"/>
      <c r="P53" s="19"/>
      <c r="Q53" s="20"/>
      <c r="R53" s="18"/>
      <c r="S53" s="18"/>
      <c r="T53" s="18"/>
      <c r="U53" s="19"/>
      <c r="Z53" s="4"/>
      <c r="AC53" s="5"/>
      <c r="AD53" s="4"/>
      <c r="AG53" s="5"/>
      <c r="AH53" s="4"/>
      <c r="AK53" s="5"/>
      <c r="AL53" s="4"/>
      <c r="AO53" s="5"/>
      <c r="AP53" s="4">
        <f t="shared" si="1"/>
        <v>0</v>
      </c>
      <c r="AQ53">
        <f t="shared" si="1"/>
        <v>0</v>
      </c>
      <c r="AR53">
        <f t="shared" si="1"/>
        <v>0</v>
      </c>
      <c r="AS53" s="5">
        <f t="shared" si="1"/>
        <v>0</v>
      </c>
      <c r="AU53" s="18">
        <v>84357</v>
      </c>
      <c r="AV53" s="18"/>
      <c r="AW53" s="18">
        <v>2108.6</v>
      </c>
      <c r="AX53" s="18">
        <v>2108.6</v>
      </c>
    </row>
    <row r="54" spans="1:50">
      <c r="A54" s="22" t="s">
        <v>71</v>
      </c>
      <c r="B54">
        <v>2235</v>
      </c>
      <c r="C54" s="18">
        <v>446</v>
      </c>
      <c r="D54" s="18">
        <v>2108962</v>
      </c>
      <c r="E54" s="18">
        <v>320.58</v>
      </c>
      <c r="F54" s="18">
        <v>189646.29</v>
      </c>
      <c r="G54" s="19">
        <v>189646.29</v>
      </c>
      <c r="H54" s="20"/>
      <c r="I54" s="18"/>
      <c r="J54" s="18"/>
      <c r="K54" s="19"/>
      <c r="L54" s="31"/>
      <c r="M54" s="32"/>
      <c r="N54" s="32"/>
      <c r="O54" s="32"/>
      <c r="P54" s="33"/>
      <c r="Q54" s="20"/>
      <c r="R54" s="18"/>
      <c r="S54" s="18"/>
      <c r="T54" s="18"/>
      <c r="U54" s="19"/>
      <c r="V54">
        <f>VLOOKUP($C54,'[27]TDA HT &amp; LT'!$B$7:$V$51,2,0)</f>
        <v>4475156.9800000004</v>
      </c>
      <c r="W54">
        <f>VLOOKUP($C54,'[27]TDA HT &amp; LT'!$B$7:$V$51,3,0)</f>
        <v>0</v>
      </c>
      <c r="X54">
        <f>VLOOKUP($C54,'[27]TDA HT &amp; LT'!$B$7:$V$51,4,0)</f>
        <v>402765.99999999994</v>
      </c>
      <c r="Y54">
        <f>VLOOKUP($C54,'[27]TDA HT &amp; LT'!$B$7:$V$51,5,0)</f>
        <v>402765.99999999994</v>
      </c>
      <c r="Z54" s="4">
        <f>VLOOKUP($C54,'[27]TDA HT &amp; LT'!$B$7:$V$51,6,0)</f>
        <v>4870</v>
      </c>
      <c r="AA54">
        <f>VLOOKUP($C54,'[27]TDA HT &amp; LT'!$B$7:$V$51,7,0)</f>
        <v>0</v>
      </c>
      <c r="AB54">
        <f>VLOOKUP($C54,'[27]TDA HT &amp; LT'!$B$7:$V$51,8,0)</f>
        <v>438.5</v>
      </c>
      <c r="AC54" s="5">
        <f>VLOOKUP($C54,'[27]TDA HT &amp; LT'!$B$7:$V$51,9,0)</f>
        <v>438.5</v>
      </c>
      <c r="AD54" s="4">
        <f>VLOOKUP($C54,'[27]TDA HT &amp; LT'!$B$7:$V$51,10,0)</f>
        <v>4206407.09</v>
      </c>
      <c r="AE54">
        <f>VLOOKUP($C54,'[27]TDA HT &amp; LT'!$B$7:$V$51,11,0)</f>
        <v>0</v>
      </c>
      <c r="AF54">
        <f>VLOOKUP($C54,'[27]TDA HT &amp; LT'!$B$7:$V$51,12,0)</f>
        <v>378576.64000000001</v>
      </c>
      <c r="AG54" s="5">
        <f>VLOOKUP($C54,'[27]TDA HT &amp; LT'!$B$7:$V$51,13,0)</f>
        <v>378576.64000000001</v>
      </c>
      <c r="AH54" s="4">
        <f>VLOOKUP($C54,'[27]TDA HT &amp; LT'!$B$7:$V$51,14,0)</f>
        <v>1266824.9600000009</v>
      </c>
      <c r="AI54">
        <f>VLOOKUP($C54,'[27]TDA HT &amp; LT'!$B$7:$V$51,15,0)</f>
        <v>0</v>
      </c>
      <c r="AJ54">
        <f>VLOOKUP($C54,'[27]TDA HT &amp; LT'!$B$7:$V$51,16,0)</f>
        <v>114014.59640000004</v>
      </c>
      <c r="AK54" s="5">
        <f>VLOOKUP($C54,'[27]TDA HT &amp; LT'!$B$7:$V$51,17,0)</f>
        <v>114014.59640000004</v>
      </c>
      <c r="AL54" s="4">
        <f>VLOOKUP($C54,'[27]TDA HT &amp; LT'!$B$7:$V$51,18,0)</f>
        <v>0</v>
      </c>
      <c r="AM54">
        <f>VLOOKUP($C54,'[27]TDA HT &amp; LT'!$B$7:$V$51,19,0)</f>
        <v>0</v>
      </c>
      <c r="AN54">
        <f>VLOOKUP($C54,'[27]TDA HT &amp; LT'!$B$7:$V$51,20,0)</f>
        <v>0</v>
      </c>
      <c r="AO54" s="5">
        <f>VLOOKUP($C54,'[27]TDA HT &amp; LT'!$B$7:$V$51,21,0)</f>
        <v>0</v>
      </c>
      <c r="AP54" s="4">
        <f t="shared" si="1"/>
        <v>12062221.030000001</v>
      </c>
      <c r="AQ54">
        <f t="shared" si="1"/>
        <v>320.58</v>
      </c>
      <c r="AR54">
        <f t="shared" si="1"/>
        <v>1085442.0263999999</v>
      </c>
      <c r="AS54" s="5">
        <f t="shared" si="1"/>
        <v>1085442.0263999999</v>
      </c>
      <c r="AU54" s="18">
        <v>189260</v>
      </c>
      <c r="AV54" s="18"/>
      <c r="AW54" s="18">
        <v>4731.5</v>
      </c>
      <c r="AX54" s="18">
        <v>4731.5</v>
      </c>
    </row>
    <row r="55" spans="1:50">
      <c r="A55" s="22" t="s">
        <v>73</v>
      </c>
      <c r="B55">
        <v>2101</v>
      </c>
      <c r="C55" s="18">
        <v>999</v>
      </c>
      <c r="D55" s="18">
        <v>183900</v>
      </c>
      <c r="E55" s="18">
        <v>13284</v>
      </c>
      <c r="F55" s="18">
        <v>9909</v>
      </c>
      <c r="G55" s="19">
        <v>9909</v>
      </c>
      <c r="H55" s="20"/>
      <c r="I55" s="18"/>
      <c r="J55" s="18"/>
      <c r="K55" s="19"/>
      <c r="L55" s="20"/>
      <c r="M55" s="18"/>
      <c r="N55" s="18"/>
      <c r="O55" s="18"/>
      <c r="P55" s="19"/>
      <c r="Q55" s="20"/>
      <c r="R55" s="18"/>
      <c r="S55" s="18"/>
      <c r="T55" s="18"/>
      <c r="U55" s="19"/>
      <c r="Z55" s="4"/>
      <c r="AC55" s="5"/>
      <c r="AD55" s="4"/>
      <c r="AG55" s="5"/>
      <c r="AH55" s="4"/>
      <c r="AK55" s="5"/>
      <c r="AL55" s="4"/>
      <c r="AO55" s="5"/>
      <c r="AP55" s="4">
        <f t="shared" si="1"/>
        <v>183900</v>
      </c>
      <c r="AQ55">
        <f t="shared" si="1"/>
        <v>13284</v>
      </c>
      <c r="AR55">
        <f t="shared" si="1"/>
        <v>9909</v>
      </c>
      <c r="AS55" s="5">
        <f t="shared" si="1"/>
        <v>9909</v>
      </c>
      <c r="AU55" s="18"/>
      <c r="AV55" s="18"/>
      <c r="AW55" s="18"/>
      <c r="AX55" s="18"/>
    </row>
    <row r="56" spans="1:50">
      <c r="A56" s="22" t="s">
        <v>74</v>
      </c>
      <c r="B56">
        <v>2224</v>
      </c>
      <c r="C56" s="18">
        <v>478</v>
      </c>
      <c r="D56" s="18">
        <v>17488</v>
      </c>
      <c r="E56" s="18"/>
      <c r="F56" s="18">
        <v>1573.92</v>
      </c>
      <c r="G56" s="19">
        <v>1573.92</v>
      </c>
      <c r="H56" s="20"/>
      <c r="I56" s="18"/>
      <c r="J56" s="18"/>
      <c r="K56" s="19"/>
      <c r="L56" s="20"/>
      <c r="M56" s="18"/>
      <c r="N56" s="18"/>
      <c r="O56" s="18"/>
      <c r="P56" s="19"/>
      <c r="Q56" s="20"/>
      <c r="R56" s="18"/>
      <c r="S56" s="18"/>
      <c r="T56" s="18"/>
      <c r="U56" s="19"/>
      <c r="V56">
        <f>VLOOKUP($C56,'[27]TDA HT &amp; LT'!$B$7:$V$51,2,0)</f>
        <v>227064</v>
      </c>
      <c r="W56">
        <f>VLOOKUP($C56,'[27]TDA HT &amp; LT'!$B$7:$V$51,3,0)</f>
        <v>0</v>
      </c>
      <c r="X56">
        <f>VLOOKUP($C56,'[27]TDA HT &amp; LT'!$B$7:$V$51,4,0)</f>
        <v>20437.260000000002</v>
      </c>
      <c r="Y56">
        <f>VLOOKUP($C56,'[27]TDA HT &amp; LT'!$B$7:$V$51,5,0)</f>
        <v>20437.260000000002</v>
      </c>
      <c r="Z56" s="4">
        <f>VLOOKUP($C56,'[27]TDA HT &amp; LT'!$B$7:$V$51,6,0)</f>
        <v>5200</v>
      </c>
      <c r="AA56">
        <f>VLOOKUP($C56,'[27]TDA HT &amp; LT'!$B$7:$V$51,7,0)</f>
        <v>0</v>
      </c>
      <c r="AB56">
        <f>VLOOKUP($C56,'[27]TDA HT &amp; LT'!$B$7:$V$51,8,0)</f>
        <v>468</v>
      </c>
      <c r="AC56" s="5">
        <f>VLOOKUP($C56,'[27]TDA HT &amp; LT'!$B$7:$V$51,9,0)</f>
        <v>468</v>
      </c>
      <c r="AD56" s="4">
        <f>VLOOKUP($C56,'[27]TDA HT &amp; LT'!$B$7:$V$51,10,0)</f>
        <v>2888927.31</v>
      </c>
      <c r="AE56">
        <f>VLOOKUP($C56,'[27]TDA HT &amp; LT'!$B$7:$V$51,11,0)</f>
        <v>0</v>
      </c>
      <c r="AF56">
        <f>VLOOKUP($C56,'[27]TDA HT &amp; LT'!$B$7:$V$51,12,0)</f>
        <v>260003.46</v>
      </c>
      <c r="AG56" s="5">
        <f>VLOOKUP($C56,'[27]TDA HT &amp; LT'!$B$7:$V$51,13,0)</f>
        <v>260003.46</v>
      </c>
      <c r="AH56" s="4">
        <f>VLOOKUP($C56,'[27]TDA HT &amp; LT'!$B$7:$V$51,14,0)</f>
        <v>0</v>
      </c>
      <c r="AI56">
        <f>VLOOKUP($C56,'[27]TDA HT &amp; LT'!$B$7:$V$51,15,0)</f>
        <v>0</v>
      </c>
      <c r="AJ56">
        <f>VLOOKUP($C56,'[27]TDA HT &amp; LT'!$B$7:$V$51,16,0)</f>
        <v>0</v>
      </c>
      <c r="AK56" s="5">
        <f>VLOOKUP($C56,'[27]TDA HT &amp; LT'!$B$7:$V$51,17,0)</f>
        <v>0</v>
      </c>
      <c r="AL56" s="4">
        <f>VLOOKUP($C56,'[27]TDA HT &amp; LT'!$B$7:$V$51,18,0)</f>
        <v>0</v>
      </c>
      <c r="AM56">
        <f>VLOOKUP($C56,'[27]TDA HT &amp; LT'!$B$7:$V$51,19,0)</f>
        <v>0</v>
      </c>
      <c r="AN56">
        <f>VLOOKUP($C56,'[27]TDA HT &amp; LT'!$B$7:$V$51,20,0)</f>
        <v>0</v>
      </c>
      <c r="AO56" s="5">
        <f>VLOOKUP($C56,'[27]TDA HT &amp; LT'!$B$7:$V$51,21,0)</f>
        <v>0</v>
      </c>
      <c r="AP56" s="4">
        <f t="shared" si="1"/>
        <v>3138679.31</v>
      </c>
      <c r="AQ56">
        <f t="shared" si="1"/>
        <v>0</v>
      </c>
      <c r="AR56">
        <f t="shared" si="1"/>
        <v>282482.64</v>
      </c>
      <c r="AS56" s="5">
        <f t="shared" si="1"/>
        <v>282482.64</v>
      </c>
      <c r="AU56" s="18">
        <v>327642</v>
      </c>
      <c r="AV56" s="18"/>
      <c r="AW56" s="18">
        <v>8191.0499999999993</v>
      </c>
      <c r="AX56" s="18">
        <v>8191.0499999999993</v>
      </c>
    </row>
    <row r="57" spans="1:50">
      <c r="A57" s="22" t="s">
        <v>75</v>
      </c>
      <c r="B57">
        <v>2101</v>
      </c>
      <c r="C57" s="18">
        <v>999</v>
      </c>
      <c r="D57" s="18"/>
      <c r="E57" s="18"/>
      <c r="F57" s="18"/>
      <c r="G57" s="19"/>
      <c r="H57" s="20"/>
      <c r="I57" s="18"/>
      <c r="J57" s="18"/>
      <c r="K57" s="19"/>
      <c r="L57" s="20"/>
      <c r="M57" s="18"/>
      <c r="N57" s="18"/>
      <c r="O57" s="18"/>
      <c r="P57" s="19"/>
      <c r="Q57" s="20"/>
      <c r="R57" s="18"/>
      <c r="S57" s="18"/>
      <c r="T57" s="18"/>
      <c r="U57" s="19"/>
      <c r="Z57" s="4"/>
      <c r="AC57" s="5"/>
      <c r="AD57" s="4"/>
      <c r="AG57" s="5"/>
      <c r="AH57" s="4"/>
      <c r="AK57" s="5"/>
      <c r="AL57" s="4"/>
      <c r="AO57" s="5"/>
      <c r="AP57" s="4">
        <f t="shared" si="1"/>
        <v>0</v>
      </c>
      <c r="AQ57">
        <f t="shared" si="1"/>
        <v>0</v>
      </c>
      <c r="AR57">
        <f t="shared" si="1"/>
        <v>0</v>
      </c>
      <c r="AS57" s="5">
        <f t="shared" si="1"/>
        <v>0</v>
      </c>
      <c r="AU57" s="18">
        <v>81431000</v>
      </c>
      <c r="AV57" s="18"/>
      <c r="AW57" s="18">
        <v>7328790</v>
      </c>
      <c r="AX57" s="18">
        <v>7328790</v>
      </c>
    </row>
    <row r="58" spans="1:50">
      <c r="A58" s="22" t="s">
        <v>76</v>
      </c>
      <c r="B58">
        <v>2219</v>
      </c>
      <c r="C58" s="18">
        <v>424</v>
      </c>
      <c r="D58" s="18">
        <v>30828</v>
      </c>
      <c r="E58" s="18">
        <v>0</v>
      </c>
      <c r="F58" s="18">
        <v>2774.52</v>
      </c>
      <c r="G58" s="19">
        <v>2774.52</v>
      </c>
      <c r="H58" s="20"/>
      <c r="I58" s="18"/>
      <c r="J58" s="18"/>
      <c r="K58" s="19"/>
      <c r="L58" s="20"/>
      <c r="M58" s="18"/>
      <c r="N58" s="18"/>
      <c r="O58" s="18"/>
      <c r="P58" s="19"/>
      <c r="Q58" s="20"/>
      <c r="R58" s="18"/>
      <c r="S58" s="18"/>
      <c r="T58" s="18"/>
      <c r="U58" s="19"/>
      <c r="V58">
        <f>VLOOKUP($C58,'[27]TDA HT &amp; LT'!$B$7:$V$51,2,0)</f>
        <v>38755557.399999999</v>
      </c>
      <c r="W58">
        <f>VLOOKUP($C58,'[27]TDA HT &amp; LT'!$B$7:$V$51,3,0)</f>
        <v>468</v>
      </c>
      <c r="X58">
        <f>VLOOKUP($C58,'[27]TDA HT &amp; LT'!$B$7:$V$51,4,0)</f>
        <v>3487532.69</v>
      </c>
      <c r="Y58">
        <f>VLOOKUP($C58,'[27]TDA HT &amp; LT'!$B$7:$V$51,5,0)</f>
        <v>3487532.69</v>
      </c>
      <c r="Z58" s="4">
        <f>VLOOKUP($C58,'[27]TDA HT &amp; LT'!$B$7:$V$51,6,0)</f>
        <v>0</v>
      </c>
      <c r="AA58">
        <f>VLOOKUP($C58,'[27]TDA HT &amp; LT'!$B$7:$V$51,7,0)</f>
        <v>0</v>
      </c>
      <c r="AB58">
        <f>VLOOKUP($C58,'[27]TDA HT &amp; LT'!$B$7:$V$51,8,0)</f>
        <v>0</v>
      </c>
      <c r="AC58" s="5">
        <f>VLOOKUP($C58,'[27]TDA HT &amp; LT'!$B$7:$V$51,9,0)</f>
        <v>0</v>
      </c>
      <c r="AD58" s="4">
        <f>VLOOKUP($C58,'[27]TDA HT &amp; LT'!$B$7:$V$51,10,0)</f>
        <v>7065053.0899999999</v>
      </c>
      <c r="AE58">
        <f>VLOOKUP($C58,'[27]TDA HT &amp; LT'!$B$7:$V$51,11,0)</f>
        <v>0</v>
      </c>
      <c r="AF58">
        <f>VLOOKUP($C58,'[27]TDA HT &amp; LT'!$B$7:$V$51,12,0)</f>
        <v>635854.79</v>
      </c>
      <c r="AG58" s="5">
        <f>VLOOKUP($C58,'[27]TDA HT &amp; LT'!$B$7:$V$51,13,0)</f>
        <v>635854.79</v>
      </c>
      <c r="AH58" s="4">
        <f>VLOOKUP($C58,'[27]TDA HT &amp; LT'!$B$7:$V$51,14,0)</f>
        <v>0</v>
      </c>
      <c r="AI58">
        <f>VLOOKUP($C58,'[27]TDA HT &amp; LT'!$B$7:$V$51,15,0)</f>
        <v>0</v>
      </c>
      <c r="AJ58">
        <f>VLOOKUP($C58,'[27]TDA HT &amp; LT'!$B$7:$V$51,16,0)</f>
        <v>0</v>
      </c>
      <c r="AK58" s="5">
        <f>VLOOKUP($C58,'[27]TDA HT &amp; LT'!$B$7:$V$51,17,0)</f>
        <v>0</v>
      </c>
      <c r="AL58" s="4">
        <f>VLOOKUP($C58,'[27]TDA HT &amp; LT'!$B$7:$V$51,18,0)</f>
        <v>-5200</v>
      </c>
      <c r="AM58">
        <f>VLOOKUP($C58,'[27]TDA HT &amp; LT'!$B$7:$V$51,19,0)</f>
        <v>0</v>
      </c>
      <c r="AN58">
        <f>VLOOKUP($C58,'[27]TDA HT &amp; LT'!$B$7:$V$51,20,0)</f>
        <v>701.85000000009313</v>
      </c>
      <c r="AO58" s="5">
        <f>VLOOKUP($C58,'[27]TDA HT &amp; LT'!$B$7:$V$51,21,0)</f>
        <v>701.85000000009313</v>
      </c>
      <c r="AP58" s="4">
        <f t="shared" si="1"/>
        <v>45846238.489999995</v>
      </c>
      <c r="AQ58">
        <f t="shared" si="1"/>
        <v>468</v>
      </c>
      <c r="AR58">
        <f t="shared" si="1"/>
        <v>4126863.85</v>
      </c>
      <c r="AS58" s="5">
        <f t="shared" si="1"/>
        <v>4126863.85</v>
      </c>
      <c r="AU58" s="18">
        <v>350996.17</v>
      </c>
      <c r="AV58" s="18"/>
      <c r="AW58" s="18">
        <v>8774.9042500000014</v>
      </c>
      <c r="AX58" s="18">
        <v>8774.9042500000014</v>
      </c>
    </row>
    <row r="59" spans="1:50">
      <c r="A59" s="22" t="s">
        <v>77</v>
      </c>
      <c r="B59">
        <v>2306</v>
      </c>
      <c r="C59" s="18">
        <v>735</v>
      </c>
      <c r="D59" s="18">
        <v>282994</v>
      </c>
      <c r="E59" s="18">
        <v>0</v>
      </c>
      <c r="F59" s="18">
        <v>25469.460000000003</v>
      </c>
      <c r="G59" s="19">
        <v>25469.460000000003</v>
      </c>
      <c r="H59" s="20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Z59" s="4"/>
      <c r="AC59" s="5"/>
      <c r="AD59" s="4"/>
      <c r="AG59" s="5"/>
      <c r="AH59" s="4"/>
      <c r="AK59" s="5"/>
      <c r="AL59" s="4"/>
      <c r="AO59" s="5"/>
      <c r="AP59" s="4">
        <f t="shared" si="1"/>
        <v>282994</v>
      </c>
      <c r="AQ59">
        <f t="shared" si="1"/>
        <v>0</v>
      </c>
      <c r="AR59">
        <f t="shared" si="1"/>
        <v>25469.460000000003</v>
      </c>
      <c r="AS59" s="5">
        <f t="shared" si="1"/>
        <v>25469.460000000003</v>
      </c>
      <c r="AU59" s="18">
        <v>173242</v>
      </c>
      <c r="AV59" s="18"/>
      <c r="AW59" s="18">
        <v>4331.05</v>
      </c>
      <c r="AX59" s="18">
        <v>4331.05</v>
      </c>
    </row>
    <row r="60" spans="1:50">
      <c r="A60" s="22" t="s">
        <v>78</v>
      </c>
      <c r="B60">
        <v>2101</v>
      </c>
      <c r="C60" s="18">
        <v>999</v>
      </c>
      <c r="D60" s="18"/>
      <c r="E60" s="18"/>
      <c r="F60" s="18"/>
      <c r="G60" s="19"/>
      <c r="H60" s="20"/>
      <c r="I60" s="18"/>
      <c r="J60" s="18"/>
      <c r="K60" s="19"/>
      <c r="L60" s="20"/>
      <c r="M60" s="18"/>
      <c r="N60" s="18"/>
      <c r="O60" s="18"/>
      <c r="P60" s="19"/>
      <c r="Q60" s="20"/>
      <c r="R60" s="18"/>
      <c r="S60" s="18"/>
      <c r="T60" s="18"/>
      <c r="U60" s="19"/>
      <c r="Z60" s="4"/>
      <c r="AC60" s="5"/>
      <c r="AD60" s="4"/>
      <c r="AG60" s="5"/>
      <c r="AH60" s="4"/>
      <c r="AK60" s="5"/>
      <c r="AL60" s="4"/>
      <c r="AO60" s="5"/>
      <c r="AP60" s="4">
        <f t="shared" si="1"/>
        <v>0</v>
      </c>
      <c r="AQ60">
        <f t="shared" si="1"/>
        <v>0</v>
      </c>
      <c r="AR60">
        <f t="shared" si="1"/>
        <v>0</v>
      </c>
      <c r="AS60" s="5">
        <f t="shared" si="1"/>
        <v>0</v>
      </c>
      <c r="AU60" s="18">
        <v>108291.22</v>
      </c>
      <c r="AV60" s="18"/>
      <c r="AW60" s="18">
        <v>2707.27</v>
      </c>
      <c r="AX60" s="18">
        <v>2707.27</v>
      </c>
    </row>
    <row r="61" spans="1:50">
      <c r="A61" s="22" t="s">
        <v>79</v>
      </c>
      <c r="B61">
        <v>2225</v>
      </c>
      <c r="C61" s="18">
        <v>460</v>
      </c>
      <c r="D61" s="18">
        <v>255283.14</v>
      </c>
      <c r="E61" s="18"/>
      <c r="F61" s="18">
        <v>22975.482599999996</v>
      </c>
      <c r="G61" s="19">
        <v>22975.482599999996</v>
      </c>
      <c r="H61" s="20"/>
      <c r="I61" s="18"/>
      <c r="J61" s="18"/>
      <c r="K61" s="19"/>
      <c r="L61" s="20"/>
      <c r="M61" s="18"/>
      <c r="N61" s="18"/>
      <c r="O61" s="18"/>
      <c r="P61" s="19"/>
      <c r="Q61" s="20"/>
      <c r="R61" s="18"/>
      <c r="S61" s="18"/>
      <c r="T61" s="18"/>
      <c r="U61" s="19"/>
      <c r="V61">
        <f>VLOOKUP($C61,'[27]TDA HT &amp; LT'!$B$7:$V$51,2,0)</f>
        <v>2908898.16</v>
      </c>
      <c r="W61">
        <f>VLOOKUP($C61,'[27]TDA HT &amp; LT'!$B$7:$V$51,3,0)</f>
        <v>0</v>
      </c>
      <c r="X61">
        <f>VLOOKUP($C61,'[27]TDA HT &amp; LT'!$B$7:$V$51,4,0)</f>
        <v>261802.39</v>
      </c>
      <c r="Y61">
        <f>VLOOKUP($C61,'[27]TDA HT &amp; LT'!$B$7:$V$51,5,0)</f>
        <v>261802.39</v>
      </c>
      <c r="Z61" s="4">
        <f>VLOOKUP($C61,'[27]TDA HT &amp; LT'!$B$7:$V$51,6,0)</f>
        <v>0</v>
      </c>
      <c r="AA61">
        <f>VLOOKUP($C61,'[27]TDA HT &amp; LT'!$B$7:$V$51,7,0)</f>
        <v>0</v>
      </c>
      <c r="AB61">
        <f>VLOOKUP($C61,'[27]TDA HT &amp; LT'!$B$7:$V$51,8,0)</f>
        <v>0</v>
      </c>
      <c r="AC61" s="5">
        <f>VLOOKUP($C61,'[27]TDA HT &amp; LT'!$B$7:$V$51,9,0)</f>
        <v>0</v>
      </c>
      <c r="AD61" s="4">
        <f>VLOOKUP($C61,'[27]TDA HT &amp; LT'!$B$7:$V$51,10,0)</f>
        <v>3513825.89</v>
      </c>
      <c r="AE61">
        <f>VLOOKUP($C61,'[27]TDA HT &amp; LT'!$B$7:$V$51,11,0)</f>
        <v>0</v>
      </c>
      <c r="AF61">
        <f>VLOOKUP($C61,'[27]TDA HT &amp; LT'!$B$7:$V$51,12,0)</f>
        <v>316244.32</v>
      </c>
      <c r="AG61" s="5">
        <f>VLOOKUP($C61,'[27]TDA HT &amp; LT'!$B$7:$V$51,13,0)</f>
        <v>316244.32</v>
      </c>
      <c r="AH61" s="4">
        <f>VLOOKUP($C61,'[27]TDA HT &amp; LT'!$B$7:$V$51,14,0)</f>
        <v>0</v>
      </c>
      <c r="AI61">
        <f>VLOOKUP($C61,'[27]TDA HT &amp; LT'!$B$7:$V$51,15,0)</f>
        <v>0</v>
      </c>
      <c r="AJ61">
        <f>VLOOKUP($C61,'[27]TDA HT &amp; LT'!$B$7:$V$51,16,0)</f>
        <v>0</v>
      </c>
      <c r="AK61" s="5">
        <f>VLOOKUP($C61,'[27]TDA HT &amp; LT'!$B$7:$V$51,17,0)</f>
        <v>0</v>
      </c>
      <c r="AL61" s="4">
        <f>VLOOKUP($C61,'[27]TDA HT &amp; LT'!$B$7:$V$51,18,0)</f>
        <v>0</v>
      </c>
      <c r="AM61">
        <f>VLOOKUP($C61,'[27]TDA HT &amp; LT'!$B$7:$V$51,19,0)</f>
        <v>0</v>
      </c>
      <c r="AN61">
        <f>VLOOKUP($C61,'[27]TDA HT &amp; LT'!$B$7:$V$51,20,0)</f>
        <v>0</v>
      </c>
      <c r="AO61" s="5">
        <f>VLOOKUP($C61,'[27]TDA HT &amp; LT'!$B$7:$V$51,21,0)</f>
        <v>0</v>
      </c>
      <c r="AP61" s="4">
        <f t="shared" si="1"/>
        <v>6678007.1900000004</v>
      </c>
      <c r="AQ61">
        <f t="shared" si="1"/>
        <v>0</v>
      </c>
      <c r="AR61">
        <f t="shared" si="1"/>
        <v>601022.19259999995</v>
      </c>
      <c r="AS61" s="5">
        <f t="shared" si="1"/>
        <v>601022.19259999995</v>
      </c>
      <c r="AU61" s="18">
        <v>61041</v>
      </c>
      <c r="AV61" s="18"/>
      <c r="AW61" s="18">
        <v>1526.0250000000001</v>
      </c>
      <c r="AX61" s="18">
        <v>1526.0250000000001</v>
      </c>
    </row>
    <row r="62" spans="1:50">
      <c r="A62" s="22" t="s">
        <v>80</v>
      </c>
      <c r="B62">
        <v>2233</v>
      </c>
      <c r="C62" s="18">
        <v>444</v>
      </c>
      <c r="D62" s="18">
        <v>828093.91999999993</v>
      </c>
      <c r="E62" s="18">
        <v>0</v>
      </c>
      <c r="F62" s="18">
        <v>82259.630000000034</v>
      </c>
      <c r="G62" s="19">
        <v>82259.630000000034</v>
      </c>
      <c r="H62" s="20"/>
      <c r="I62" s="18"/>
      <c r="J62" s="18"/>
      <c r="K62" s="19"/>
      <c r="L62" s="20"/>
      <c r="M62" s="18"/>
      <c r="N62" s="18"/>
      <c r="O62" s="18"/>
      <c r="P62" s="19"/>
      <c r="Q62" s="20"/>
      <c r="R62" s="18"/>
      <c r="S62" s="18"/>
      <c r="T62" s="18"/>
      <c r="U62" s="19"/>
      <c r="V62">
        <f>VLOOKUP($C62,'[27]TDA HT &amp; LT'!$B$7:$V$51,2,0)</f>
        <v>2327541</v>
      </c>
      <c r="W62">
        <f>VLOOKUP($C62,'[27]TDA HT &amp; LT'!$B$7:$V$51,3,0)</f>
        <v>0</v>
      </c>
      <c r="X62">
        <f>VLOOKUP($C62,'[27]TDA HT &amp; LT'!$B$7:$V$51,4,0)</f>
        <v>209478.21000000002</v>
      </c>
      <c r="Y62">
        <f>VLOOKUP($C62,'[27]TDA HT &amp; LT'!$B$7:$V$51,5,0)</f>
        <v>209478.21000000002</v>
      </c>
      <c r="Z62" s="4">
        <f>VLOOKUP($C62,'[27]TDA HT &amp; LT'!$B$7:$V$51,6,0)</f>
        <v>0</v>
      </c>
      <c r="AA62">
        <f>VLOOKUP($C62,'[27]TDA HT &amp; LT'!$B$7:$V$51,7,0)</f>
        <v>0</v>
      </c>
      <c r="AB62">
        <f>VLOOKUP($C62,'[27]TDA HT &amp; LT'!$B$7:$V$51,8,0)</f>
        <v>0</v>
      </c>
      <c r="AC62" s="5">
        <f>VLOOKUP($C62,'[27]TDA HT &amp; LT'!$B$7:$V$51,9,0)</f>
        <v>0</v>
      </c>
      <c r="AD62" s="4">
        <f>VLOOKUP($C62,'[27]TDA HT &amp; LT'!$B$7:$V$51,10,0)</f>
        <v>7068644.5800000001</v>
      </c>
      <c r="AE62">
        <f>VLOOKUP($C62,'[27]TDA HT &amp; LT'!$B$7:$V$51,11,0)</f>
        <v>0</v>
      </c>
      <c r="AF62">
        <f>VLOOKUP($C62,'[27]TDA HT &amp; LT'!$B$7:$V$51,12,0)</f>
        <v>636178</v>
      </c>
      <c r="AG62" s="5">
        <f>VLOOKUP($C62,'[27]TDA HT &amp; LT'!$B$7:$V$51,13,0)</f>
        <v>636178</v>
      </c>
      <c r="AH62" s="4">
        <f>VLOOKUP($C62,'[27]TDA HT &amp; LT'!$B$7:$V$51,14,0)</f>
        <v>0</v>
      </c>
      <c r="AI62">
        <f>VLOOKUP($C62,'[27]TDA HT &amp; LT'!$B$7:$V$51,15,0)</f>
        <v>0</v>
      </c>
      <c r="AJ62">
        <f>VLOOKUP($C62,'[27]TDA HT &amp; LT'!$B$7:$V$51,16,0)</f>
        <v>0</v>
      </c>
      <c r="AK62" s="5">
        <f>VLOOKUP($C62,'[27]TDA HT &amp; LT'!$B$7:$V$51,17,0)</f>
        <v>0</v>
      </c>
      <c r="AL62" s="4">
        <f>VLOOKUP($C62,'[27]TDA HT &amp; LT'!$B$7:$V$51,18,0)</f>
        <v>0</v>
      </c>
      <c r="AM62">
        <f>VLOOKUP($C62,'[27]TDA HT &amp; LT'!$B$7:$V$51,19,0)</f>
        <v>0</v>
      </c>
      <c r="AN62">
        <f>VLOOKUP($C62,'[27]TDA HT &amp; LT'!$B$7:$V$51,20,0)</f>
        <v>0</v>
      </c>
      <c r="AO62" s="5">
        <f>VLOOKUP($C62,'[27]TDA HT &amp; LT'!$B$7:$V$51,21,0)</f>
        <v>0</v>
      </c>
      <c r="AP62" s="4">
        <f t="shared" si="1"/>
        <v>10224279.5</v>
      </c>
      <c r="AQ62">
        <f t="shared" si="1"/>
        <v>0</v>
      </c>
      <c r="AR62">
        <f t="shared" si="1"/>
        <v>927915.84000000008</v>
      </c>
      <c r="AS62" s="5">
        <f t="shared" si="1"/>
        <v>927915.84000000008</v>
      </c>
      <c r="AU62" s="18">
        <v>213533</v>
      </c>
      <c r="AV62" s="18"/>
      <c r="AW62" s="18">
        <v>5338.3249999999998</v>
      </c>
      <c r="AX62" s="18">
        <v>5338.3249999999998</v>
      </c>
    </row>
    <row r="63" spans="1:50">
      <c r="A63" s="22" t="s">
        <v>81</v>
      </c>
      <c r="B63">
        <v>2223</v>
      </c>
      <c r="C63" s="18">
        <v>476</v>
      </c>
      <c r="D63" s="18">
        <v>29511.71</v>
      </c>
      <c r="E63" s="18">
        <v>19.079999999999998</v>
      </c>
      <c r="F63" s="18">
        <v>2646.51</v>
      </c>
      <c r="G63" s="19">
        <v>2646.51</v>
      </c>
      <c r="H63" s="20"/>
      <c r="I63" s="18"/>
      <c r="J63" s="18"/>
      <c r="K63" s="19"/>
      <c r="L63" s="20"/>
      <c r="M63" s="18"/>
      <c r="N63" s="18"/>
      <c r="O63" s="18"/>
      <c r="P63" s="19"/>
      <c r="Q63" s="20"/>
      <c r="R63" s="18"/>
      <c r="S63" s="18"/>
      <c r="T63" s="18"/>
      <c r="U63" s="19"/>
      <c r="V63">
        <f>VLOOKUP($C63,'[27]TDA HT &amp; LT'!$B$7:$V$51,2,0)</f>
        <v>2369963.71</v>
      </c>
      <c r="W63">
        <f>VLOOKUP($C63,'[27]TDA HT &amp; LT'!$B$7:$V$51,3,0)</f>
        <v>0</v>
      </c>
      <c r="X63">
        <f>VLOOKUP($C63,'[27]TDA HT &amp; LT'!$B$7:$V$51,4,0)</f>
        <v>213297.73999999993</v>
      </c>
      <c r="Y63">
        <f>VLOOKUP($C63,'[27]TDA HT &amp; LT'!$B$7:$V$51,5,0)</f>
        <v>213297.73999999993</v>
      </c>
      <c r="Z63" s="4">
        <f>VLOOKUP($C63,'[27]TDA HT &amp; LT'!$B$7:$V$51,6,0)</f>
        <v>0</v>
      </c>
      <c r="AA63">
        <f>VLOOKUP($C63,'[27]TDA HT &amp; LT'!$B$7:$V$51,7,0)</f>
        <v>0</v>
      </c>
      <c r="AB63">
        <f>VLOOKUP($C63,'[27]TDA HT &amp; LT'!$B$7:$V$51,8,0)</f>
        <v>0</v>
      </c>
      <c r="AC63" s="5">
        <f>VLOOKUP($C63,'[27]TDA HT &amp; LT'!$B$7:$V$51,9,0)</f>
        <v>0</v>
      </c>
      <c r="AD63" s="4">
        <f>VLOOKUP($C63,'[27]TDA HT &amp; LT'!$B$7:$V$51,10,0)</f>
        <v>3530462.12</v>
      </c>
      <c r="AE63">
        <f>VLOOKUP($C63,'[27]TDA HT &amp; LT'!$B$7:$V$51,11,0)</f>
        <v>0</v>
      </c>
      <c r="AF63">
        <f>VLOOKUP($C63,'[27]TDA HT &amp; LT'!$B$7:$V$51,12,0)</f>
        <v>317741.59999999998</v>
      </c>
      <c r="AG63" s="5">
        <f>VLOOKUP($C63,'[27]TDA HT &amp; LT'!$B$7:$V$51,13,0)</f>
        <v>317741.59999999998</v>
      </c>
      <c r="AH63" s="4">
        <f>VLOOKUP($C63,'[27]TDA HT &amp; LT'!$B$7:$V$51,14,0)</f>
        <v>0</v>
      </c>
      <c r="AI63">
        <f>VLOOKUP($C63,'[27]TDA HT &amp; LT'!$B$7:$V$51,15,0)</f>
        <v>0</v>
      </c>
      <c r="AJ63">
        <f>VLOOKUP($C63,'[27]TDA HT &amp; LT'!$B$7:$V$51,16,0)</f>
        <v>0</v>
      </c>
      <c r="AK63" s="5">
        <f>VLOOKUP($C63,'[27]TDA HT &amp; LT'!$B$7:$V$51,17,0)</f>
        <v>0</v>
      </c>
      <c r="AL63" s="4">
        <f>VLOOKUP($C63,'[27]TDA HT &amp; LT'!$B$7:$V$51,18,0)</f>
        <v>0</v>
      </c>
      <c r="AM63">
        <f>VLOOKUP($C63,'[27]TDA HT &amp; LT'!$B$7:$V$51,19,0)</f>
        <v>0</v>
      </c>
      <c r="AN63">
        <f>VLOOKUP($C63,'[27]TDA HT &amp; LT'!$B$7:$V$51,20,0)</f>
        <v>0</v>
      </c>
      <c r="AO63" s="5">
        <f>VLOOKUP($C63,'[27]TDA HT &amp; LT'!$B$7:$V$51,21,0)</f>
        <v>0</v>
      </c>
      <c r="AP63" s="4">
        <f t="shared" si="1"/>
        <v>5929937.54</v>
      </c>
      <c r="AQ63">
        <f t="shared" si="1"/>
        <v>19.079999999999998</v>
      </c>
      <c r="AR63">
        <f t="shared" si="1"/>
        <v>533685.84999999986</v>
      </c>
      <c r="AS63" s="5">
        <f t="shared" si="1"/>
        <v>533685.84999999986</v>
      </c>
      <c r="AU63" s="18">
        <v>102816</v>
      </c>
      <c r="AV63" s="18"/>
      <c r="AW63" s="18">
        <v>2570.4000000000005</v>
      </c>
      <c r="AX63" s="18">
        <v>2570.4000000000005</v>
      </c>
    </row>
    <row r="64" spans="1:50">
      <c r="A64" s="22" t="s">
        <v>82</v>
      </c>
      <c r="B64">
        <v>2240</v>
      </c>
      <c r="C64" s="18">
        <v>413</v>
      </c>
      <c r="D64" s="18">
        <v>3393674.38</v>
      </c>
      <c r="E64" s="18">
        <v>1216.31</v>
      </c>
      <c r="F64" s="18">
        <v>304822.54280000005</v>
      </c>
      <c r="G64" s="19">
        <v>304822.54280000005</v>
      </c>
      <c r="H64" s="20"/>
      <c r="I64" s="18"/>
      <c r="J64" s="18"/>
      <c r="K64" s="19"/>
      <c r="L64" s="20"/>
      <c r="M64" s="18"/>
      <c r="N64" s="18"/>
      <c r="O64" s="18"/>
      <c r="P64" s="19"/>
      <c r="Q64" s="20"/>
      <c r="R64" s="18"/>
      <c r="S64" s="18"/>
      <c r="T64" s="18"/>
      <c r="U64" s="19"/>
      <c r="V64">
        <f>VLOOKUP($C64,'[27]TDA HT &amp; LT'!$B$7:$V$51,2,0)</f>
        <v>11837503.109999999</v>
      </c>
      <c r="W64">
        <f>VLOOKUP($C64,'[27]TDA HT &amp; LT'!$B$7:$V$51,3,0)</f>
        <v>0</v>
      </c>
      <c r="X64">
        <f>VLOOKUP($C64,'[27]TDA HT &amp; LT'!$B$7:$V$51,4,0)</f>
        <v>1065375.6199999994</v>
      </c>
      <c r="Y64">
        <f>VLOOKUP($C64,'[27]TDA HT &amp; LT'!$B$7:$V$51,5,0)</f>
        <v>1065375.6199999994</v>
      </c>
      <c r="Z64" s="4">
        <f>VLOOKUP($C64,'[27]TDA HT &amp; LT'!$B$7:$V$51,6,0)</f>
        <v>0</v>
      </c>
      <c r="AA64">
        <f>VLOOKUP($C64,'[27]TDA HT &amp; LT'!$B$7:$V$51,7,0)</f>
        <v>0</v>
      </c>
      <c r="AB64">
        <f>VLOOKUP($C64,'[27]TDA HT &amp; LT'!$B$7:$V$51,8,0)</f>
        <v>0</v>
      </c>
      <c r="AC64" s="5">
        <f>VLOOKUP($C64,'[27]TDA HT &amp; LT'!$B$7:$V$51,9,0)</f>
        <v>0</v>
      </c>
      <c r="AD64" s="4">
        <f>VLOOKUP($C64,'[27]TDA HT &amp; LT'!$B$7:$V$51,10,0)</f>
        <v>4132976.6400000001</v>
      </c>
      <c r="AE64">
        <f>VLOOKUP($C64,'[27]TDA HT &amp; LT'!$B$7:$V$51,11,0)</f>
        <v>0</v>
      </c>
      <c r="AF64">
        <f>VLOOKUP($C64,'[27]TDA HT &amp; LT'!$B$7:$V$51,12,0)</f>
        <v>371940.9</v>
      </c>
      <c r="AG64" s="5">
        <f>VLOOKUP($C64,'[27]TDA HT &amp; LT'!$B$7:$V$51,13,0)</f>
        <v>371940.9</v>
      </c>
      <c r="AH64" s="4">
        <f>VLOOKUP($C64,'[27]TDA HT &amp; LT'!$B$7:$V$51,14,0)</f>
        <v>0</v>
      </c>
      <c r="AI64">
        <f>VLOOKUP($C64,'[27]TDA HT &amp; LT'!$B$7:$V$51,15,0)</f>
        <v>0</v>
      </c>
      <c r="AJ64">
        <f>VLOOKUP($C64,'[27]TDA HT &amp; LT'!$B$7:$V$51,16,0)</f>
        <v>0</v>
      </c>
      <c r="AK64" s="5">
        <f>VLOOKUP($C64,'[27]TDA HT &amp; LT'!$B$7:$V$51,17,0)</f>
        <v>0</v>
      </c>
      <c r="AL64" s="4">
        <f>VLOOKUP($C64,'[27]TDA HT &amp; LT'!$B$7:$V$51,18,0)</f>
        <v>0</v>
      </c>
      <c r="AM64">
        <f>VLOOKUP($C64,'[27]TDA HT &amp; LT'!$B$7:$V$51,19,0)</f>
        <v>0</v>
      </c>
      <c r="AN64">
        <f>VLOOKUP($C64,'[27]TDA HT &amp; LT'!$B$7:$V$51,20,0)</f>
        <v>0</v>
      </c>
      <c r="AO64" s="5">
        <f>VLOOKUP($C64,'[27]TDA HT &amp; LT'!$B$7:$V$51,21,0)</f>
        <v>0</v>
      </c>
      <c r="AP64" s="4">
        <f t="shared" si="1"/>
        <v>19364154.129999999</v>
      </c>
      <c r="AQ64">
        <f t="shared" si="1"/>
        <v>1216.31</v>
      </c>
      <c r="AR64">
        <f t="shared" si="1"/>
        <v>1742139.0627999995</v>
      </c>
      <c r="AS64" s="5">
        <f t="shared" si="1"/>
        <v>1742139.0627999995</v>
      </c>
      <c r="AU64" s="18"/>
      <c r="AV64" s="18"/>
      <c r="AW64" s="18"/>
      <c r="AX64" s="18"/>
    </row>
    <row r="65" spans="1:50">
      <c r="A65" s="22" t="s">
        <v>83</v>
      </c>
      <c r="B65">
        <v>2241</v>
      </c>
      <c r="C65" s="18">
        <v>414</v>
      </c>
      <c r="D65" s="18">
        <v>211495.2</v>
      </c>
      <c r="E65" s="18">
        <v>3040.79</v>
      </c>
      <c r="F65" s="18">
        <v>17514.169999999998</v>
      </c>
      <c r="G65" s="19">
        <v>17514.169999999998</v>
      </c>
      <c r="H65" s="20"/>
      <c r="I65" s="18"/>
      <c r="J65" s="18"/>
      <c r="K65" s="19"/>
      <c r="L65" s="20"/>
      <c r="M65" s="18"/>
      <c r="N65" s="18"/>
      <c r="O65" s="18"/>
      <c r="P65" s="19"/>
      <c r="Q65" s="20"/>
      <c r="R65" s="18"/>
      <c r="S65" s="18"/>
      <c r="T65" s="18"/>
      <c r="U65" s="19"/>
      <c r="V65">
        <f>VLOOKUP($C65,'[27]TDA HT &amp; LT'!$B$7:$V$51,2,0)</f>
        <v>6755313.75</v>
      </c>
      <c r="W65">
        <f>VLOOKUP($C65,'[27]TDA HT &amp; LT'!$B$7:$V$51,3,0)</f>
        <v>0</v>
      </c>
      <c r="X65">
        <f>VLOOKUP($C65,'[27]TDA HT &amp; LT'!$B$7:$V$51,4,0)</f>
        <v>381863.83999999997</v>
      </c>
      <c r="Y65">
        <f>VLOOKUP($C65,'[27]TDA HT &amp; LT'!$B$7:$V$51,5,0)</f>
        <v>381863.83999999997</v>
      </c>
      <c r="Z65" s="4">
        <f>VLOOKUP($C65,'[27]TDA HT &amp; LT'!$B$7:$V$51,6,0)</f>
        <v>2600</v>
      </c>
      <c r="AA65">
        <f>VLOOKUP($C65,'[27]TDA HT &amp; LT'!$B$7:$V$51,7,0)</f>
        <v>0</v>
      </c>
      <c r="AB65">
        <f>VLOOKUP($C65,'[27]TDA HT &amp; LT'!$B$7:$V$51,8,0)</f>
        <v>0</v>
      </c>
      <c r="AC65" s="5">
        <f>VLOOKUP($C65,'[27]TDA HT &amp; LT'!$B$7:$V$51,9,0)</f>
        <v>0</v>
      </c>
      <c r="AD65" s="4">
        <f>VLOOKUP($C65,'[27]TDA HT &amp; LT'!$B$7:$V$51,10,0)</f>
        <v>4500609.2300000004</v>
      </c>
      <c r="AE65">
        <f>VLOOKUP($C65,'[27]TDA HT &amp; LT'!$B$7:$V$51,11,0)</f>
        <v>0</v>
      </c>
      <c r="AF65">
        <f>VLOOKUP($C65,'[27]TDA HT &amp; LT'!$B$7:$V$51,12,0)</f>
        <v>405054.83</v>
      </c>
      <c r="AG65" s="5">
        <f>VLOOKUP($C65,'[27]TDA HT &amp; LT'!$B$7:$V$51,13,0)</f>
        <v>405054.83</v>
      </c>
      <c r="AH65" s="4">
        <f>VLOOKUP($C65,'[27]TDA HT &amp; LT'!$B$7:$V$51,14,0)</f>
        <v>-253498.00000000093</v>
      </c>
      <c r="AI65">
        <f>VLOOKUP($C65,'[27]TDA HT &amp; LT'!$B$7:$V$51,15,0)</f>
        <v>0</v>
      </c>
      <c r="AJ65">
        <f>VLOOKUP($C65,'[27]TDA HT &amp; LT'!$B$7:$V$51,16,0)</f>
        <v>0</v>
      </c>
      <c r="AK65" s="5">
        <f>VLOOKUP($C65,'[27]TDA HT &amp; LT'!$B$7:$V$51,17,0)</f>
        <v>0</v>
      </c>
      <c r="AL65" s="4">
        <f>VLOOKUP($C65,'[27]TDA HT &amp; LT'!$B$7:$V$51,18,0)</f>
        <v>0</v>
      </c>
      <c r="AM65">
        <f>VLOOKUP($C65,'[27]TDA HT &amp; LT'!$B$7:$V$51,19,0)</f>
        <v>0</v>
      </c>
      <c r="AN65">
        <f>VLOOKUP($C65,'[27]TDA HT &amp; LT'!$B$7:$V$51,20,0)</f>
        <v>0</v>
      </c>
      <c r="AO65" s="5">
        <f>VLOOKUP($C65,'[27]TDA HT &amp; LT'!$B$7:$V$51,21,0)</f>
        <v>0</v>
      </c>
      <c r="AP65" s="4">
        <f t="shared" si="1"/>
        <v>11216520.18</v>
      </c>
      <c r="AQ65">
        <f t="shared" si="1"/>
        <v>3040.79</v>
      </c>
      <c r="AR65">
        <f t="shared" si="1"/>
        <v>804432.84</v>
      </c>
      <c r="AS65" s="5">
        <f t="shared" si="1"/>
        <v>804432.84</v>
      </c>
      <c r="AU65" s="18">
        <v>13797</v>
      </c>
      <c r="AV65" s="18"/>
      <c r="AW65" s="18">
        <v>344.92500000000001</v>
      </c>
      <c r="AX65" s="18">
        <v>344.92500000000001</v>
      </c>
    </row>
    <row r="66" spans="1:50">
      <c r="A66" s="22" t="s">
        <v>84</v>
      </c>
      <c r="B66">
        <v>2236</v>
      </c>
      <c r="C66" s="18">
        <v>447</v>
      </c>
      <c r="D66" s="18">
        <v>142539</v>
      </c>
      <c r="E66" s="18">
        <v>0</v>
      </c>
      <c r="F66" s="18">
        <v>12828.51</v>
      </c>
      <c r="G66" s="19">
        <v>12828.51</v>
      </c>
      <c r="H66" s="20"/>
      <c r="I66" s="18"/>
      <c r="J66" s="18"/>
      <c r="K66" s="19"/>
      <c r="L66" s="20"/>
      <c r="M66" s="18"/>
      <c r="N66" s="18"/>
      <c r="O66" s="18"/>
      <c r="P66" s="19"/>
      <c r="Q66" s="20"/>
      <c r="R66" s="18"/>
      <c r="S66" s="18"/>
      <c r="T66" s="18"/>
      <c r="U66" s="19"/>
      <c r="V66">
        <f>VLOOKUP($C66,'[27]TDA HT &amp; LT'!$B$7:$V$51,2,0)</f>
        <v>93763</v>
      </c>
      <c r="W66">
        <f>VLOOKUP($C66,'[27]TDA HT &amp; LT'!$B$7:$V$51,3,0)</f>
        <v>0</v>
      </c>
      <c r="X66">
        <f>VLOOKUP($C66,'[27]TDA HT &amp; LT'!$B$7:$V$51,4,0)</f>
        <v>8438.67</v>
      </c>
      <c r="Y66">
        <f>VLOOKUP($C66,'[27]TDA HT &amp; LT'!$B$7:$V$51,5,0)</f>
        <v>8438.67</v>
      </c>
      <c r="Z66" s="4">
        <f>VLOOKUP($C66,'[27]TDA HT &amp; LT'!$B$7:$V$51,6,0)</f>
        <v>0</v>
      </c>
      <c r="AA66">
        <f>VLOOKUP($C66,'[27]TDA HT &amp; LT'!$B$7:$V$51,7,0)</f>
        <v>0</v>
      </c>
      <c r="AB66">
        <f>VLOOKUP($C66,'[27]TDA HT &amp; LT'!$B$7:$V$51,8,0)</f>
        <v>0</v>
      </c>
      <c r="AC66" s="5">
        <f>VLOOKUP($C66,'[27]TDA HT &amp; LT'!$B$7:$V$51,9,0)</f>
        <v>0</v>
      </c>
      <c r="AD66" s="4">
        <f>VLOOKUP($C66,'[27]TDA HT &amp; LT'!$B$7:$V$51,10,0)</f>
        <v>3217830</v>
      </c>
      <c r="AE66">
        <f>VLOOKUP($C66,'[27]TDA HT &amp; LT'!$B$7:$V$51,11,0)</f>
        <v>0</v>
      </c>
      <c r="AF66">
        <f>VLOOKUP($C66,'[27]TDA HT &amp; LT'!$B$7:$V$51,12,0)</f>
        <v>289604.7</v>
      </c>
      <c r="AG66" s="5">
        <f>VLOOKUP($C66,'[27]TDA HT &amp; LT'!$B$7:$V$51,13,0)</f>
        <v>289604.7</v>
      </c>
      <c r="AH66" s="4">
        <f>VLOOKUP($C66,'[27]TDA HT &amp; LT'!$B$7:$V$51,14,0)</f>
        <v>0</v>
      </c>
      <c r="AI66">
        <f>VLOOKUP($C66,'[27]TDA HT &amp; LT'!$B$7:$V$51,15,0)</f>
        <v>0</v>
      </c>
      <c r="AJ66">
        <f>VLOOKUP($C66,'[27]TDA HT &amp; LT'!$B$7:$V$51,16,0)</f>
        <v>0</v>
      </c>
      <c r="AK66" s="5">
        <f>VLOOKUP($C66,'[27]TDA HT &amp; LT'!$B$7:$V$51,17,0)</f>
        <v>0</v>
      </c>
      <c r="AL66" s="4">
        <f>VLOOKUP($C66,'[27]TDA HT &amp; LT'!$B$7:$V$51,18,0)</f>
        <v>0</v>
      </c>
      <c r="AM66">
        <f>VLOOKUP($C66,'[27]TDA HT &amp; LT'!$B$7:$V$51,19,0)</f>
        <v>0</v>
      </c>
      <c r="AN66">
        <f>VLOOKUP($C66,'[27]TDA HT &amp; LT'!$B$7:$V$51,20,0)</f>
        <v>0</v>
      </c>
      <c r="AO66" s="5">
        <f>VLOOKUP($C66,'[27]TDA HT &amp; LT'!$B$7:$V$51,21,0)</f>
        <v>0</v>
      </c>
      <c r="AP66" s="4">
        <f t="shared" si="1"/>
        <v>3454132</v>
      </c>
      <c r="AQ66">
        <f t="shared" si="1"/>
        <v>0</v>
      </c>
      <c r="AR66">
        <f t="shared" si="1"/>
        <v>310871.88</v>
      </c>
      <c r="AS66" s="5">
        <f t="shared" si="1"/>
        <v>310871.88</v>
      </c>
      <c r="AU66" s="18">
        <v>174151</v>
      </c>
      <c r="AV66" s="18"/>
      <c r="AW66" s="18">
        <v>4353.7750000000005</v>
      </c>
      <c r="AX66" s="18">
        <v>4353.7750000000005</v>
      </c>
    </row>
    <row r="67" spans="1:50">
      <c r="A67" s="22" t="s">
        <v>85</v>
      </c>
      <c r="B67">
        <v>2227</v>
      </c>
      <c r="C67" s="18">
        <v>472</v>
      </c>
      <c r="D67" s="18">
        <v>4057289.44</v>
      </c>
      <c r="E67" s="18">
        <v>0</v>
      </c>
      <c r="F67" s="18">
        <v>365156.05000000016</v>
      </c>
      <c r="G67" s="19">
        <v>365156.05000000016</v>
      </c>
      <c r="H67" s="20"/>
      <c r="I67" s="18"/>
      <c r="J67" s="18"/>
      <c r="K67" s="19"/>
      <c r="L67" s="20"/>
      <c r="M67" s="18"/>
      <c r="N67" s="18"/>
      <c r="O67" s="18"/>
      <c r="P67" s="19"/>
      <c r="Q67" s="20"/>
      <c r="R67" s="18"/>
      <c r="S67" s="18"/>
      <c r="T67" s="18"/>
      <c r="U67" s="19"/>
      <c r="V67">
        <f>VLOOKUP($C67,'[27]TDA HT &amp; LT'!$B$7:$V$51,2,0)</f>
        <v>17613415.84</v>
      </c>
      <c r="W67">
        <f>VLOOKUP($C67,'[27]TDA HT &amp; LT'!$B$7:$V$51,3,0)</f>
        <v>0</v>
      </c>
      <c r="X67">
        <f>VLOOKUP($C67,'[27]TDA HT &amp; LT'!$B$7:$V$51,4,0)</f>
        <v>1089680.5399999998</v>
      </c>
      <c r="Y67">
        <f>VLOOKUP($C67,'[27]TDA HT &amp; LT'!$B$7:$V$51,5,0)</f>
        <v>1089680.5399999998</v>
      </c>
      <c r="Z67" s="4">
        <f>VLOOKUP($C67,'[27]TDA HT &amp; LT'!$B$7:$V$51,6,0)</f>
        <v>0</v>
      </c>
      <c r="AA67">
        <f>VLOOKUP($C67,'[27]TDA HT &amp; LT'!$B$7:$V$51,7,0)</f>
        <v>0</v>
      </c>
      <c r="AB67">
        <f>VLOOKUP($C67,'[27]TDA HT &amp; LT'!$B$7:$V$51,8,0)</f>
        <v>0</v>
      </c>
      <c r="AC67" s="5">
        <f>VLOOKUP($C67,'[27]TDA HT &amp; LT'!$B$7:$V$51,9,0)</f>
        <v>0</v>
      </c>
      <c r="AD67" s="4">
        <f>VLOOKUP($C67,'[27]TDA HT &amp; LT'!$B$7:$V$51,10,0)</f>
        <v>8183464.2000000002</v>
      </c>
      <c r="AE67">
        <f>VLOOKUP($C67,'[27]TDA HT &amp; LT'!$B$7:$V$51,11,0)</f>
        <v>0</v>
      </c>
      <c r="AF67">
        <f>VLOOKUP($C67,'[27]TDA HT &amp; LT'!$B$7:$V$51,12,0)</f>
        <v>736511.78</v>
      </c>
      <c r="AG67" s="5">
        <f>VLOOKUP($C67,'[27]TDA HT &amp; LT'!$B$7:$V$51,13,0)</f>
        <v>736511.78</v>
      </c>
      <c r="AH67" s="4">
        <f>VLOOKUP($C67,'[27]TDA HT &amp; LT'!$B$7:$V$51,14,0)</f>
        <v>-7036721.6699999999</v>
      </c>
      <c r="AI67">
        <f>VLOOKUP($C67,'[27]TDA HT &amp; LT'!$B$7:$V$51,15,0)</f>
        <v>0</v>
      </c>
      <c r="AJ67">
        <f>VLOOKUP($C67,'[27]TDA HT &amp; LT'!$B$7:$V$51,16,0)</f>
        <v>0</v>
      </c>
      <c r="AK67" s="5">
        <f>VLOOKUP($C67,'[27]TDA HT &amp; LT'!$B$7:$V$51,17,0)</f>
        <v>0</v>
      </c>
      <c r="AL67" s="4">
        <f>VLOOKUP($C67,'[27]TDA HT &amp; LT'!$B$7:$V$51,18,0)</f>
        <v>1873767.9899999984</v>
      </c>
      <c r="AM67">
        <f>VLOOKUP($C67,'[27]TDA HT &amp; LT'!$B$7:$V$51,19,0)</f>
        <v>0</v>
      </c>
      <c r="AN67">
        <f>VLOOKUP($C67,'[27]TDA HT &amp; LT'!$B$7:$V$51,20,0)</f>
        <v>168639.12000000034</v>
      </c>
      <c r="AO67" s="5">
        <f>VLOOKUP($C67,'[27]TDA HT &amp; LT'!$B$7:$V$51,21,0)</f>
        <v>168639.12000000034</v>
      </c>
      <c r="AP67" s="4">
        <f t="shared" si="1"/>
        <v>24691215.800000001</v>
      </c>
      <c r="AQ67">
        <f t="shared" si="1"/>
        <v>0</v>
      </c>
      <c r="AR67">
        <f t="shared" si="1"/>
        <v>2359987.4900000002</v>
      </c>
      <c r="AS67" s="5">
        <f t="shared" si="1"/>
        <v>2359987.4900000002</v>
      </c>
      <c r="AU67" s="18">
        <v>196898</v>
      </c>
      <c r="AV67" s="18"/>
      <c r="AW67" s="18">
        <v>4922.5</v>
      </c>
      <c r="AX67" s="18">
        <v>4922.5</v>
      </c>
    </row>
    <row r="68" spans="1:50">
      <c r="A68" s="22" t="s">
        <v>86</v>
      </c>
      <c r="B68">
        <v>2212</v>
      </c>
      <c r="C68" s="18">
        <v>438</v>
      </c>
      <c r="D68" s="18">
        <v>156757</v>
      </c>
      <c r="E68" s="18">
        <v>3243.42</v>
      </c>
      <c r="F68" s="18">
        <v>12486.42</v>
      </c>
      <c r="G68" s="19">
        <v>12486.42</v>
      </c>
      <c r="H68" s="20"/>
      <c r="I68" s="18"/>
      <c r="J68" s="18"/>
      <c r="K68" s="19"/>
      <c r="L68" s="20"/>
      <c r="M68" s="18"/>
      <c r="N68" s="18"/>
      <c r="O68" s="18"/>
      <c r="P68" s="19"/>
      <c r="Q68" s="20"/>
      <c r="R68" s="18"/>
      <c r="S68" s="18"/>
      <c r="T68" s="18"/>
      <c r="U68" s="19"/>
      <c r="V68">
        <f>VLOOKUP($C68,'[27]TDA HT &amp; LT'!$B$7:$V$51,2,0)</f>
        <v>10893698.949999999</v>
      </c>
      <c r="W68">
        <f>VLOOKUP($C68,'[27]TDA HT &amp; LT'!$B$7:$V$51,3,0)</f>
        <v>0</v>
      </c>
      <c r="X68">
        <f>VLOOKUP($C68,'[27]TDA HT &amp; LT'!$B$7:$V$51,4,0)</f>
        <v>980432.25000000012</v>
      </c>
      <c r="Y68">
        <f>VLOOKUP($C68,'[27]TDA HT &amp; LT'!$B$7:$V$51,5,0)</f>
        <v>980432.25000000012</v>
      </c>
      <c r="Z68" s="4">
        <f>VLOOKUP($C68,'[27]TDA HT &amp; LT'!$B$7:$V$51,6,0)</f>
        <v>2600</v>
      </c>
      <c r="AA68">
        <f>VLOOKUP($C68,'[27]TDA HT &amp; LT'!$B$7:$V$51,7,0)</f>
        <v>0</v>
      </c>
      <c r="AB68">
        <f>VLOOKUP($C68,'[27]TDA HT &amp; LT'!$B$7:$V$51,8,0)</f>
        <v>234</v>
      </c>
      <c r="AC68" s="5">
        <f>VLOOKUP($C68,'[27]TDA HT &amp; LT'!$B$7:$V$51,9,0)</f>
        <v>234</v>
      </c>
      <c r="AD68" s="4">
        <f>VLOOKUP($C68,'[27]TDA HT &amp; LT'!$B$7:$V$51,10,0)</f>
        <v>5140919.26</v>
      </c>
      <c r="AE68">
        <f>VLOOKUP($C68,'[27]TDA HT &amp; LT'!$B$7:$V$51,11,0)</f>
        <v>0</v>
      </c>
      <c r="AF68">
        <f>VLOOKUP($C68,'[27]TDA HT &amp; LT'!$B$7:$V$51,12,0)</f>
        <v>462682.73</v>
      </c>
      <c r="AG68" s="5">
        <f>VLOOKUP($C68,'[27]TDA HT &amp; LT'!$B$7:$V$51,13,0)</f>
        <v>462682.73</v>
      </c>
      <c r="AH68" s="4">
        <f>VLOOKUP($C68,'[27]TDA HT &amp; LT'!$B$7:$V$51,14,0)</f>
        <v>0</v>
      </c>
      <c r="AI68">
        <f>VLOOKUP($C68,'[27]TDA HT &amp; LT'!$B$7:$V$51,15,0)</f>
        <v>0</v>
      </c>
      <c r="AJ68">
        <f>VLOOKUP($C68,'[27]TDA HT &amp; LT'!$B$7:$V$51,16,0)</f>
        <v>0</v>
      </c>
      <c r="AK68" s="5">
        <f>VLOOKUP($C68,'[27]TDA HT &amp; LT'!$B$7:$V$51,17,0)</f>
        <v>0</v>
      </c>
      <c r="AL68" s="4">
        <f>VLOOKUP($C68,'[27]TDA HT &amp; LT'!$B$7:$V$51,18,0)</f>
        <v>0</v>
      </c>
      <c r="AM68">
        <f>VLOOKUP($C68,'[27]TDA HT &amp; LT'!$B$7:$V$51,19,0)</f>
        <v>0</v>
      </c>
      <c r="AN68">
        <f>VLOOKUP($C68,'[27]TDA HT &amp; LT'!$B$7:$V$51,20,0)</f>
        <v>0</v>
      </c>
      <c r="AO68" s="5">
        <f>VLOOKUP($C68,'[27]TDA HT &amp; LT'!$B$7:$V$51,21,0)</f>
        <v>0</v>
      </c>
      <c r="AP68" s="4">
        <f t="shared" si="1"/>
        <v>16193975.209999999</v>
      </c>
      <c r="AQ68">
        <f t="shared" si="1"/>
        <v>3243.42</v>
      </c>
      <c r="AR68">
        <f t="shared" si="1"/>
        <v>1455835.4000000001</v>
      </c>
      <c r="AS68" s="5">
        <f t="shared" si="1"/>
        <v>1455835.4000000001</v>
      </c>
      <c r="AU68" s="18">
        <v>315340.26</v>
      </c>
      <c r="AV68" s="18"/>
      <c r="AW68" s="18">
        <v>7883.5064999999995</v>
      </c>
      <c r="AX68" s="18">
        <v>7883.5064999999995</v>
      </c>
    </row>
    <row r="69" spans="1:50">
      <c r="A69" s="22" t="s">
        <v>87</v>
      </c>
      <c r="B69">
        <v>2231</v>
      </c>
      <c r="C69" s="18">
        <v>442</v>
      </c>
      <c r="D69" s="18">
        <v>3601766</v>
      </c>
      <c r="E69" s="18">
        <v>66971.48</v>
      </c>
      <c r="F69" s="18">
        <v>290675.68</v>
      </c>
      <c r="G69" s="19">
        <v>290675.68</v>
      </c>
      <c r="H69" s="20"/>
      <c r="I69" s="18"/>
      <c r="J69" s="18"/>
      <c r="K69" s="19"/>
      <c r="L69" s="20"/>
      <c r="M69" s="18"/>
      <c r="N69" s="18"/>
      <c r="O69" s="18"/>
      <c r="P69" s="19"/>
      <c r="Q69" s="20" t="s">
        <v>88</v>
      </c>
      <c r="R69" s="18">
        <v>42900</v>
      </c>
      <c r="S69" s="18">
        <v>0</v>
      </c>
      <c r="T69" s="18">
        <v>3860.5</v>
      </c>
      <c r="U69" s="19">
        <v>3860.5</v>
      </c>
      <c r="V69">
        <f>VLOOKUP($C69,'[27]TDA HT &amp; LT'!$B$7:$V$51,2,0)</f>
        <v>9127306.1400000006</v>
      </c>
      <c r="W69">
        <f>VLOOKUP($C69,'[27]TDA HT &amp; LT'!$B$7:$V$51,3,0)</f>
        <v>468</v>
      </c>
      <c r="X69">
        <f>VLOOKUP($C69,'[27]TDA HT &amp; LT'!$B$7:$V$51,4,0)</f>
        <v>821223.59999999986</v>
      </c>
      <c r="Y69">
        <f>VLOOKUP($C69,'[27]TDA HT &amp; LT'!$B$7:$V$51,5,0)</f>
        <v>821223.59999999986</v>
      </c>
      <c r="Z69" s="4">
        <f>VLOOKUP($C69,'[27]TDA HT &amp; LT'!$B$7:$V$51,6,0)</f>
        <v>136696</v>
      </c>
      <c r="AA69">
        <f>VLOOKUP($C69,'[27]TDA HT &amp; LT'!$B$7:$V$51,7,0)</f>
        <v>468</v>
      </c>
      <c r="AB69">
        <f>VLOOKUP($C69,'[27]TDA HT &amp; LT'!$B$7:$V$51,8,0)</f>
        <v>12068.64</v>
      </c>
      <c r="AC69" s="5">
        <f>VLOOKUP($C69,'[27]TDA HT &amp; LT'!$B$7:$V$51,9,0)</f>
        <v>12068.64</v>
      </c>
      <c r="AD69" s="4">
        <f>VLOOKUP($C69,'[27]TDA HT &amp; LT'!$B$7:$V$51,10,0)</f>
        <v>8354875.3799999999</v>
      </c>
      <c r="AE69">
        <f>VLOOKUP($C69,'[27]TDA HT &amp; LT'!$B$7:$V$51,11,0)</f>
        <v>0</v>
      </c>
      <c r="AF69">
        <f>VLOOKUP($C69,'[27]TDA HT &amp; LT'!$B$7:$V$51,12,0)</f>
        <v>751938.77999999991</v>
      </c>
      <c r="AG69" s="5">
        <f>VLOOKUP($C69,'[27]TDA HT &amp; LT'!$B$7:$V$51,13,0)</f>
        <v>751938.77999999991</v>
      </c>
      <c r="AH69" s="4">
        <f>VLOOKUP($C69,'[27]TDA HT &amp; LT'!$B$7:$V$51,14,0)</f>
        <v>2599.9999999981374</v>
      </c>
      <c r="AI69">
        <f>VLOOKUP($C69,'[27]TDA HT &amp; LT'!$B$7:$V$51,15,0)</f>
        <v>468</v>
      </c>
      <c r="AJ69">
        <f>VLOOKUP($C69,'[27]TDA HT &amp; LT'!$B$7:$V$51,16,0)</f>
        <v>0</v>
      </c>
      <c r="AK69" s="5">
        <f>VLOOKUP($C69,'[27]TDA HT &amp; LT'!$B$7:$V$51,17,0)</f>
        <v>0</v>
      </c>
      <c r="AL69" s="4">
        <f>VLOOKUP($C69,'[27]TDA HT &amp; LT'!$B$7:$V$51,18,0)</f>
        <v>0</v>
      </c>
      <c r="AM69">
        <f>VLOOKUP($C69,'[27]TDA HT &amp; LT'!$B$7:$V$51,19,0)</f>
        <v>0</v>
      </c>
      <c r="AN69">
        <f>VLOOKUP($C69,'[27]TDA HT &amp; LT'!$B$7:$V$51,20,0)</f>
        <v>0</v>
      </c>
      <c r="AO69" s="5">
        <f>VLOOKUP($C69,'[27]TDA HT &amp; LT'!$B$7:$V$51,21,0)</f>
        <v>0</v>
      </c>
      <c r="AP69" s="4">
        <f t="shared" si="1"/>
        <v>21266143.519999996</v>
      </c>
      <c r="AQ69">
        <f t="shared" si="1"/>
        <v>68375.48</v>
      </c>
      <c r="AR69">
        <f t="shared" si="1"/>
        <v>1879767.1999999997</v>
      </c>
      <c r="AS69" s="5">
        <f t="shared" si="1"/>
        <v>1879767.1999999997</v>
      </c>
      <c r="AU69" s="18">
        <v>812966.4800000001</v>
      </c>
      <c r="AV69" s="18"/>
      <c r="AW69" s="18">
        <v>20324.162000000004</v>
      </c>
      <c r="AX69" s="18">
        <v>20324.162000000004</v>
      </c>
    </row>
    <row r="70" spans="1:50">
      <c r="A70" s="22" t="s">
        <v>89</v>
      </c>
      <c r="B70">
        <v>2402</v>
      </c>
      <c r="C70" s="18">
        <v>320</v>
      </c>
      <c r="D70" s="18">
        <v>13165519</v>
      </c>
      <c r="E70" s="18">
        <v>34531.379999999997</v>
      </c>
      <c r="F70" s="18">
        <v>359300.71000000124</v>
      </c>
      <c r="G70" s="19">
        <v>359300.71000000124</v>
      </c>
      <c r="H70" s="20"/>
      <c r="I70" s="18"/>
      <c r="J70" s="18"/>
      <c r="K70" s="19"/>
      <c r="L70" s="20"/>
      <c r="M70" s="18"/>
      <c r="N70" s="18"/>
      <c r="O70" s="18"/>
      <c r="P70" s="19"/>
      <c r="Q70" s="20"/>
      <c r="R70" s="18"/>
      <c r="S70" s="18"/>
      <c r="T70" s="18"/>
      <c r="U70" s="19"/>
      <c r="Z70" s="4"/>
      <c r="AC70" s="5"/>
      <c r="AD70" s="4"/>
      <c r="AG70" s="5"/>
      <c r="AH70" s="4"/>
      <c r="AK70" s="5"/>
      <c r="AL70" s="4"/>
      <c r="AO70" s="5"/>
      <c r="AP70" s="4">
        <f t="shared" ref="AP70:AS90" si="2">D70+H70+M70+R70+V70+Z70+AD70+AH70+AL70</f>
        <v>13165519</v>
      </c>
      <c r="AQ70">
        <f t="shared" si="2"/>
        <v>34531.379999999997</v>
      </c>
      <c r="AR70">
        <f t="shared" si="2"/>
        <v>359300.71000000124</v>
      </c>
      <c r="AS70" s="5">
        <f t="shared" si="2"/>
        <v>359300.71000000124</v>
      </c>
      <c r="AU70" s="18">
        <v>626903</v>
      </c>
      <c r="AV70" s="18"/>
      <c r="AW70" s="18">
        <v>15672.609999999999</v>
      </c>
      <c r="AX70" s="18">
        <v>15672.609999999999</v>
      </c>
    </row>
    <row r="71" spans="1:50">
      <c r="A71" s="22" t="s">
        <v>90</v>
      </c>
      <c r="B71">
        <v>2226</v>
      </c>
      <c r="C71" s="18">
        <v>470</v>
      </c>
      <c r="D71" s="18">
        <v>14660.01</v>
      </c>
      <c r="E71" s="18">
        <v>1972.26</v>
      </c>
      <c r="F71" s="18">
        <v>333.27</v>
      </c>
      <c r="G71" s="19">
        <v>333.27</v>
      </c>
      <c r="H71" s="20"/>
      <c r="I71" s="18"/>
      <c r="J71" s="18"/>
      <c r="K71" s="19"/>
      <c r="L71" s="20" t="s">
        <v>72</v>
      </c>
      <c r="M71" s="23">
        <v>-6714</v>
      </c>
      <c r="N71" s="23">
        <v>0</v>
      </c>
      <c r="O71" s="23">
        <v>-604</v>
      </c>
      <c r="P71" s="24">
        <v>-604</v>
      </c>
      <c r="Q71" s="20"/>
      <c r="R71" s="18"/>
      <c r="S71" s="18"/>
      <c r="T71" s="18"/>
      <c r="U71" s="19"/>
      <c r="V71">
        <f>VLOOKUP($C71,'[27]TDA HT &amp; LT'!$B$7:$V$51,2,0)</f>
        <v>13369519</v>
      </c>
      <c r="W71">
        <f>VLOOKUP($C71,'[27]TDA HT &amp; LT'!$B$7:$V$51,3,0)</f>
        <v>0</v>
      </c>
      <c r="X71">
        <f>VLOOKUP($C71,'[27]TDA HT &amp; LT'!$B$7:$V$51,4,0)</f>
        <v>1203022.9699999997</v>
      </c>
      <c r="Y71">
        <f>VLOOKUP($C71,'[27]TDA HT &amp; LT'!$B$7:$V$51,5,0)</f>
        <v>1203022.9699999997</v>
      </c>
      <c r="Z71" s="4">
        <f>VLOOKUP($C71,'[27]TDA HT &amp; LT'!$B$7:$V$51,6,0)</f>
        <v>2600</v>
      </c>
      <c r="AA71">
        <f>VLOOKUP($C71,'[27]TDA HT &amp; LT'!$B$7:$V$51,7,0)</f>
        <v>0</v>
      </c>
      <c r="AB71">
        <f>VLOOKUP($C71,'[27]TDA HT &amp; LT'!$B$7:$V$51,8,0)</f>
        <v>0</v>
      </c>
      <c r="AC71" s="5">
        <f>VLOOKUP($C71,'[27]TDA HT &amp; LT'!$B$7:$V$51,9,0)</f>
        <v>0</v>
      </c>
      <c r="AD71" s="4">
        <f>VLOOKUP($C71,'[27]TDA HT &amp; LT'!$B$7:$V$51,10,0)</f>
        <v>4924424.97</v>
      </c>
      <c r="AE71">
        <f>VLOOKUP($C71,'[27]TDA HT &amp; LT'!$B$7:$V$51,11,0)</f>
        <v>0</v>
      </c>
      <c r="AF71">
        <f>VLOOKUP($C71,'[27]TDA HT &amp; LT'!$B$7:$V$51,12,0)</f>
        <v>443198.24</v>
      </c>
      <c r="AG71" s="5">
        <f>VLOOKUP($C71,'[27]TDA HT &amp; LT'!$B$7:$V$51,13,0)</f>
        <v>443198.24</v>
      </c>
      <c r="AH71" s="4">
        <f>VLOOKUP($C71,'[27]TDA HT &amp; LT'!$B$7:$V$51,14,0)</f>
        <v>0</v>
      </c>
      <c r="AI71">
        <f>VLOOKUP($C71,'[27]TDA HT &amp; LT'!$B$7:$V$51,15,0)</f>
        <v>0</v>
      </c>
      <c r="AJ71">
        <f>VLOOKUP($C71,'[27]TDA HT &amp; LT'!$B$7:$V$51,16,0)</f>
        <v>0</v>
      </c>
      <c r="AK71" s="5">
        <f>VLOOKUP($C71,'[27]TDA HT &amp; LT'!$B$7:$V$51,17,0)</f>
        <v>0</v>
      </c>
      <c r="AL71" s="4">
        <f>VLOOKUP($C71,'[27]TDA HT &amp; LT'!$B$7:$V$51,18,0)</f>
        <v>0</v>
      </c>
      <c r="AM71">
        <f>VLOOKUP($C71,'[27]TDA HT &amp; LT'!$B$7:$V$51,19,0)</f>
        <v>468</v>
      </c>
      <c r="AN71">
        <f>VLOOKUP($C71,'[27]TDA HT &amp; LT'!$B$7:$V$51,20,0)</f>
        <v>-234</v>
      </c>
      <c r="AO71" s="5">
        <f>VLOOKUP($C71,'[27]TDA HT &amp; LT'!$B$7:$V$51,21,0)</f>
        <v>-234</v>
      </c>
      <c r="AP71" s="4">
        <f t="shared" si="2"/>
        <v>18304489.98</v>
      </c>
      <c r="AQ71">
        <f t="shared" si="2"/>
        <v>2440.2600000000002</v>
      </c>
      <c r="AR71">
        <f t="shared" si="2"/>
        <v>1645716.4799999997</v>
      </c>
      <c r="AS71" s="5">
        <f t="shared" si="2"/>
        <v>1645716.4799999997</v>
      </c>
      <c r="AU71" s="18">
        <v>162811</v>
      </c>
      <c r="AV71" s="18"/>
      <c r="AW71" s="18">
        <v>4070.2750000000005</v>
      </c>
      <c r="AX71" s="18">
        <v>4070.2750000000005</v>
      </c>
    </row>
    <row r="72" spans="1:50">
      <c r="A72" s="22" t="s">
        <v>91</v>
      </c>
      <c r="B72">
        <v>2411</v>
      </c>
      <c r="C72" s="18">
        <v>835</v>
      </c>
      <c r="D72" s="18"/>
      <c r="E72" s="18"/>
      <c r="F72" s="18"/>
      <c r="G72" s="19"/>
      <c r="H72" s="20"/>
      <c r="I72" s="18"/>
      <c r="J72" s="18"/>
      <c r="K72" s="19"/>
      <c r="L72" s="20"/>
      <c r="M72" s="18"/>
      <c r="N72" s="18"/>
      <c r="O72" s="18"/>
      <c r="P72" s="19"/>
      <c r="Q72" s="20"/>
      <c r="R72" s="18"/>
      <c r="S72" s="18"/>
      <c r="T72" s="18"/>
      <c r="U72" s="19"/>
      <c r="Z72" s="4"/>
      <c r="AC72" s="5"/>
      <c r="AD72" s="4"/>
      <c r="AG72" s="5"/>
      <c r="AH72" s="4"/>
      <c r="AK72" s="5"/>
      <c r="AL72" s="4"/>
      <c r="AO72" s="5"/>
      <c r="AP72" s="4">
        <f t="shared" si="2"/>
        <v>0</v>
      </c>
      <c r="AQ72">
        <f t="shared" si="2"/>
        <v>0</v>
      </c>
      <c r="AR72">
        <f t="shared" si="2"/>
        <v>0</v>
      </c>
      <c r="AS72" s="5">
        <f t="shared" si="2"/>
        <v>0</v>
      </c>
      <c r="AU72" s="18">
        <v>316655</v>
      </c>
      <c r="AV72" s="18"/>
      <c r="AW72" s="18">
        <v>7916.3750000000009</v>
      </c>
      <c r="AX72" s="18">
        <v>7916.3750000000009</v>
      </c>
    </row>
    <row r="73" spans="1:50">
      <c r="A73" s="22" t="s">
        <v>92</v>
      </c>
      <c r="B73">
        <v>2211</v>
      </c>
      <c r="C73" s="18">
        <v>434</v>
      </c>
      <c r="D73" s="18">
        <v>15850</v>
      </c>
      <c r="E73" s="18">
        <v>0</v>
      </c>
      <c r="F73" s="18">
        <v>1426.5</v>
      </c>
      <c r="G73" s="19">
        <v>1426.5</v>
      </c>
      <c r="H73" s="20"/>
      <c r="I73" s="18"/>
      <c r="J73" s="18"/>
      <c r="K73" s="19"/>
      <c r="L73" s="20"/>
      <c r="M73" s="18"/>
      <c r="N73" s="18"/>
      <c r="O73" s="18"/>
      <c r="P73" s="19"/>
      <c r="Q73" s="20"/>
      <c r="R73" s="18"/>
      <c r="S73" s="18"/>
      <c r="T73" s="18"/>
      <c r="U73" s="19"/>
      <c r="V73">
        <f>VLOOKUP($C73,'[27]TDA HT &amp; LT'!$B$7:$V$51,2,0)</f>
        <v>7347523.2199999997</v>
      </c>
      <c r="W73">
        <f>VLOOKUP($C73,'[27]TDA HT &amp; LT'!$B$7:$V$51,3,0)</f>
        <v>0</v>
      </c>
      <c r="X73">
        <f>VLOOKUP($C73,'[27]TDA HT &amp; LT'!$B$7:$V$51,4,0)</f>
        <v>661276.9800000001</v>
      </c>
      <c r="Y73">
        <f>VLOOKUP($C73,'[27]TDA HT &amp; LT'!$B$7:$V$51,5,0)</f>
        <v>661276.9800000001</v>
      </c>
      <c r="Z73" s="4">
        <f>VLOOKUP($C73,'[27]TDA HT &amp; LT'!$B$7:$V$51,6,0)</f>
        <v>110260</v>
      </c>
      <c r="AA73">
        <f>VLOOKUP($C73,'[27]TDA HT &amp; LT'!$B$7:$V$51,7,0)</f>
        <v>0</v>
      </c>
      <c r="AB73">
        <f>VLOOKUP($C73,'[27]TDA HT &amp; LT'!$B$7:$V$51,8,0)</f>
        <v>9923.4</v>
      </c>
      <c r="AC73" s="5">
        <f>VLOOKUP($C73,'[27]TDA HT &amp; LT'!$B$7:$V$51,9,0)</f>
        <v>9923.4</v>
      </c>
      <c r="AD73" s="4">
        <f>VLOOKUP($C73,'[27]TDA HT &amp; LT'!$B$7:$V$51,10,0)</f>
        <v>3315712.87</v>
      </c>
      <c r="AE73">
        <f>VLOOKUP($C73,'[27]TDA HT &amp; LT'!$B$7:$V$51,11,0)</f>
        <v>0</v>
      </c>
      <c r="AF73">
        <f>VLOOKUP($C73,'[27]TDA HT &amp; LT'!$B$7:$V$51,12,0)</f>
        <v>298414.15999999997</v>
      </c>
      <c r="AG73" s="5">
        <f>VLOOKUP($C73,'[27]TDA HT &amp; LT'!$B$7:$V$51,13,0)</f>
        <v>298414.15999999997</v>
      </c>
      <c r="AH73" s="4">
        <f>VLOOKUP($C73,'[27]TDA HT &amp; LT'!$B$7:$V$51,14,0)</f>
        <v>-2639.9999999981374</v>
      </c>
      <c r="AI73">
        <f>VLOOKUP($C73,'[27]TDA HT &amp; LT'!$B$7:$V$51,15,0)</f>
        <v>0</v>
      </c>
      <c r="AJ73">
        <f>VLOOKUP($C73,'[27]TDA HT &amp; LT'!$B$7:$V$51,16,0)</f>
        <v>-237.5999999998603</v>
      </c>
      <c r="AK73" s="5">
        <f>VLOOKUP($C73,'[27]TDA HT &amp; LT'!$B$7:$V$51,17,0)</f>
        <v>-237.5999999998603</v>
      </c>
      <c r="AL73" s="4">
        <f>VLOOKUP($C73,'[27]TDA HT &amp; LT'!$B$7:$V$51,18,0)</f>
        <v>0</v>
      </c>
      <c r="AM73">
        <f>VLOOKUP($C73,'[27]TDA HT &amp; LT'!$B$7:$V$51,19,0)</f>
        <v>0</v>
      </c>
      <c r="AN73">
        <f>VLOOKUP($C73,'[27]TDA HT &amp; LT'!$B$7:$V$51,20,0)</f>
        <v>0</v>
      </c>
      <c r="AO73" s="5">
        <f>VLOOKUP($C73,'[27]TDA HT &amp; LT'!$B$7:$V$51,21,0)</f>
        <v>0</v>
      </c>
      <c r="AP73" s="4">
        <f t="shared" si="2"/>
        <v>10786706.090000002</v>
      </c>
      <c r="AQ73">
        <f t="shared" si="2"/>
        <v>0</v>
      </c>
      <c r="AR73">
        <f t="shared" si="2"/>
        <v>970803.44000000018</v>
      </c>
      <c r="AS73" s="5">
        <f t="shared" si="2"/>
        <v>970803.44000000018</v>
      </c>
      <c r="AU73" s="18">
        <v>233043</v>
      </c>
      <c r="AV73" s="18"/>
      <c r="AW73" s="18">
        <v>5826</v>
      </c>
      <c r="AX73" s="18">
        <v>5826</v>
      </c>
    </row>
    <row r="74" spans="1:50">
      <c r="A74" s="22" t="s">
        <v>93</v>
      </c>
      <c r="B74">
        <v>2407</v>
      </c>
      <c r="C74" s="18">
        <v>820</v>
      </c>
      <c r="D74" s="18"/>
      <c r="E74" s="18"/>
      <c r="F74" s="18"/>
      <c r="G74" s="19"/>
      <c r="H74" s="20"/>
      <c r="I74" s="18"/>
      <c r="J74" s="18"/>
      <c r="K74" s="19"/>
      <c r="L74" s="20"/>
      <c r="M74" s="18"/>
      <c r="N74" s="18"/>
      <c r="O74" s="18"/>
      <c r="P74" s="19"/>
      <c r="Q74" s="20"/>
      <c r="R74" s="18"/>
      <c r="S74" s="18"/>
      <c r="T74" s="18"/>
      <c r="U74" s="19"/>
      <c r="Z74" s="4"/>
      <c r="AC74" s="5"/>
      <c r="AD74" s="4"/>
      <c r="AG74" s="5"/>
      <c r="AH74" s="4"/>
      <c r="AK74" s="5"/>
      <c r="AL74" s="4"/>
      <c r="AO74" s="5"/>
      <c r="AP74" s="4">
        <f t="shared" si="2"/>
        <v>0</v>
      </c>
      <c r="AQ74">
        <f t="shared" si="2"/>
        <v>0</v>
      </c>
      <c r="AR74">
        <f t="shared" si="2"/>
        <v>0</v>
      </c>
      <c r="AS74" s="5">
        <f t="shared" si="2"/>
        <v>0</v>
      </c>
      <c r="AU74" s="18">
        <v>265340</v>
      </c>
      <c r="AV74" s="18"/>
      <c r="AW74" s="18">
        <v>6633.5000000000009</v>
      </c>
      <c r="AX74" s="18">
        <v>6633.5000000000009</v>
      </c>
    </row>
    <row r="75" spans="1:50">
      <c r="A75" s="22" t="s">
        <v>94</v>
      </c>
      <c r="B75">
        <v>2239</v>
      </c>
      <c r="C75" s="18">
        <v>412</v>
      </c>
      <c r="D75" s="18">
        <v>732338.04</v>
      </c>
      <c r="E75" s="18">
        <v>44139.6</v>
      </c>
      <c r="F75" s="18">
        <v>43840.620000000024</v>
      </c>
      <c r="G75" s="19">
        <v>43840.620000000024</v>
      </c>
      <c r="H75" s="20"/>
      <c r="I75" s="18"/>
      <c r="J75" s="18"/>
      <c r="K75" s="19"/>
      <c r="L75" s="20" t="s">
        <v>95</v>
      </c>
      <c r="M75" s="23">
        <v>-24865</v>
      </c>
      <c r="N75" s="23">
        <v>0</v>
      </c>
      <c r="O75" s="23">
        <v>0</v>
      </c>
      <c r="P75" s="24">
        <v>0</v>
      </c>
      <c r="Q75" s="20"/>
      <c r="R75" s="18"/>
      <c r="S75" s="18"/>
      <c r="T75" s="18"/>
      <c r="U75" s="19"/>
      <c r="V75">
        <f>VLOOKUP($C75,'[27]TDA HT &amp; LT'!$B$7:$V$51,2,0)</f>
        <v>20203692.460000005</v>
      </c>
      <c r="W75">
        <f>VLOOKUP($C75,'[27]TDA HT &amp; LT'!$B$7:$V$51,3,0)</f>
        <v>0</v>
      </c>
      <c r="X75">
        <f>VLOOKUP($C75,'[27]TDA HT &amp; LT'!$B$7:$V$51,4,0)</f>
        <v>1817865.7799999998</v>
      </c>
      <c r="Y75">
        <f>VLOOKUP($C75,'[27]TDA HT &amp; LT'!$B$7:$V$51,5,0)</f>
        <v>1817865.7799999998</v>
      </c>
      <c r="Z75" s="4">
        <f>VLOOKUP($C75,'[27]TDA HT &amp; LT'!$B$7:$V$51,6,0)</f>
        <v>0</v>
      </c>
      <c r="AA75">
        <f>VLOOKUP($C75,'[27]TDA HT &amp; LT'!$B$7:$V$51,7,0)</f>
        <v>0</v>
      </c>
      <c r="AB75">
        <f>VLOOKUP($C75,'[27]TDA HT &amp; LT'!$B$7:$V$51,8,0)</f>
        <v>0</v>
      </c>
      <c r="AC75" s="5">
        <f>VLOOKUP($C75,'[27]TDA HT &amp; LT'!$B$7:$V$51,9,0)</f>
        <v>0</v>
      </c>
      <c r="AD75" s="4">
        <f>VLOOKUP($C75,'[27]TDA HT &amp; LT'!$B$7:$V$51,10,0)</f>
        <v>4565358.47</v>
      </c>
      <c r="AE75">
        <f>VLOOKUP($C75,'[27]TDA HT &amp; LT'!$B$7:$V$51,11,0)</f>
        <v>0</v>
      </c>
      <c r="AF75">
        <f>VLOOKUP($C75,'[27]TDA HT &amp; LT'!$B$7:$V$51,12,0)</f>
        <v>410882.26</v>
      </c>
      <c r="AG75" s="5">
        <f>VLOOKUP($C75,'[27]TDA HT &amp; LT'!$B$7:$V$51,13,0)</f>
        <v>410882.26</v>
      </c>
      <c r="AH75" s="4">
        <f>VLOOKUP($C75,'[27]TDA HT &amp; LT'!$B$7:$V$51,14,0)</f>
        <v>0</v>
      </c>
      <c r="AI75">
        <f>VLOOKUP($C75,'[27]TDA HT &amp; LT'!$B$7:$V$51,15,0)</f>
        <v>0</v>
      </c>
      <c r="AJ75">
        <f>VLOOKUP($C75,'[27]TDA HT &amp; LT'!$B$7:$V$51,16,0)</f>
        <v>0</v>
      </c>
      <c r="AK75" s="5">
        <f>VLOOKUP($C75,'[27]TDA HT &amp; LT'!$B$7:$V$51,17,0)</f>
        <v>0</v>
      </c>
      <c r="AL75" s="4">
        <f>VLOOKUP($C75,'[27]TDA HT &amp; LT'!$B$7:$V$51,18,0)</f>
        <v>0</v>
      </c>
      <c r="AM75">
        <f>VLOOKUP($C75,'[27]TDA HT &amp; LT'!$B$7:$V$51,19,0)</f>
        <v>0</v>
      </c>
      <c r="AN75">
        <f>VLOOKUP($C75,'[27]TDA HT &amp; LT'!$B$7:$V$51,20,0)</f>
        <v>0</v>
      </c>
      <c r="AO75" s="5">
        <f>VLOOKUP($C75,'[27]TDA HT &amp; LT'!$B$7:$V$51,21,0)</f>
        <v>0</v>
      </c>
      <c r="AP75" s="4">
        <f t="shared" si="2"/>
        <v>25476523.970000003</v>
      </c>
      <c r="AQ75">
        <f t="shared" si="2"/>
        <v>44139.6</v>
      </c>
      <c r="AR75">
        <f t="shared" si="2"/>
        <v>2272588.66</v>
      </c>
      <c r="AS75" s="5">
        <f t="shared" si="2"/>
        <v>2272588.66</v>
      </c>
      <c r="AU75" s="18">
        <v>222604.56</v>
      </c>
      <c r="AV75" s="18"/>
      <c r="AW75" s="18">
        <v>5565.1139999999996</v>
      </c>
      <c r="AX75" s="18">
        <v>5565.1139999999996</v>
      </c>
    </row>
    <row r="76" spans="1:50">
      <c r="A76" s="22" t="s">
        <v>96</v>
      </c>
      <c r="B76">
        <v>2503</v>
      </c>
      <c r="C76" s="18">
        <v>552</v>
      </c>
      <c r="D76" s="18">
        <v>162010</v>
      </c>
      <c r="E76" s="18">
        <v>3482</v>
      </c>
      <c r="F76" s="18">
        <v>12839</v>
      </c>
      <c r="G76" s="19">
        <v>12839</v>
      </c>
      <c r="H76" s="20"/>
      <c r="I76" s="18"/>
      <c r="J76" s="18"/>
      <c r="K76" s="19"/>
      <c r="L76" s="20"/>
      <c r="M76" s="18"/>
      <c r="N76" s="18"/>
      <c r="O76" s="18"/>
      <c r="P76" s="19"/>
      <c r="Q76" s="20"/>
      <c r="R76" s="18"/>
      <c r="S76" s="18"/>
      <c r="T76" s="18"/>
      <c r="U76" s="19"/>
      <c r="Z76" s="4"/>
      <c r="AC76" s="5"/>
      <c r="AD76" s="4"/>
      <c r="AG76" s="5"/>
      <c r="AH76" s="4"/>
      <c r="AK76" s="5"/>
      <c r="AL76" s="4"/>
      <c r="AO76" s="5"/>
      <c r="AP76" s="4">
        <f t="shared" si="2"/>
        <v>162010</v>
      </c>
      <c r="AQ76">
        <f t="shared" si="2"/>
        <v>3482</v>
      </c>
      <c r="AR76">
        <f t="shared" si="2"/>
        <v>12839</v>
      </c>
      <c r="AS76" s="5">
        <f t="shared" si="2"/>
        <v>12839</v>
      </c>
      <c r="AU76" s="18">
        <v>133849</v>
      </c>
      <c r="AV76" s="18"/>
      <c r="AW76" s="18">
        <v>3346</v>
      </c>
      <c r="AX76" s="18">
        <v>3346</v>
      </c>
    </row>
    <row r="77" spans="1:50">
      <c r="A77" s="22" t="s">
        <v>97</v>
      </c>
      <c r="B77">
        <v>2242</v>
      </c>
      <c r="C77" s="18">
        <v>416</v>
      </c>
      <c r="D77" s="18">
        <v>272236</v>
      </c>
      <c r="E77" s="18">
        <v>45313.919999999998</v>
      </c>
      <c r="F77" s="18">
        <v>1844.28</v>
      </c>
      <c r="G77" s="19">
        <v>1844.28</v>
      </c>
      <c r="H77" s="20"/>
      <c r="I77" s="18"/>
      <c r="J77" s="18"/>
      <c r="K77" s="19"/>
      <c r="L77" s="20"/>
      <c r="M77" s="18"/>
      <c r="N77" s="18"/>
      <c r="O77" s="18"/>
      <c r="P77" s="19"/>
      <c r="Q77" s="20"/>
      <c r="R77" s="18"/>
      <c r="S77" s="18"/>
      <c r="T77" s="18"/>
      <c r="U77" s="19"/>
      <c r="V77">
        <f>VLOOKUP($C77,'[27]TDA HT &amp; LT'!$B$7:$V$51,2,0)</f>
        <v>4176205.4099999997</v>
      </c>
      <c r="W77">
        <f>VLOOKUP($C77,'[27]TDA HT &amp; LT'!$B$7:$V$51,3,0)</f>
        <v>0</v>
      </c>
      <c r="X77">
        <f>VLOOKUP($C77,'[27]TDA HT &amp; LT'!$B$7:$V$51,4,0)</f>
        <v>375859.07999999996</v>
      </c>
      <c r="Y77">
        <f>VLOOKUP($C77,'[27]TDA HT &amp; LT'!$B$7:$V$51,5,0)</f>
        <v>375859.07999999996</v>
      </c>
      <c r="Z77" s="4">
        <f>VLOOKUP($C77,'[27]TDA HT &amp; LT'!$B$7:$V$51,6,0)</f>
        <v>0</v>
      </c>
      <c r="AA77">
        <f>VLOOKUP($C77,'[27]TDA HT &amp; LT'!$B$7:$V$51,7,0)</f>
        <v>0</v>
      </c>
      <c r="AB77">
        <f>VLOOKUP($C77,'[27]TDA HT &amp; LT'!$B$7:$V$51,8,0)</f>
        <v>0</v>
      </c>
      <c r="AC77" s="5">
        <f>VLOOKUP($C77,'[27]TDA HT &amp; LT'!$B$7:$V$51,9,0)</f>
        <v>0</v>
      </c>
      <c r="AD77" s="4">
        <f>VLOOKUP($C77,'[27]TDA HT &amp; LT'!$B$7:$V$51,10,0)</f>
        <v>3305462.57</v>
      </c>
      <c r="AE77">
        <f>VLOOKUP($C77,'[27]TDA HT &amp; LT'!$B$7:$V$51,11,0)</f>
        <v>0</v>
      </c>
      <c r="AF77">
        <f>VLOOKUP($C77,'[27]TDA HT &amp; LT'!$B$7:$V$51,12,0)</f>
        <v>297491.63</v>
      </c>
      <c r="AG77" s="5">
        <f>VLOOKUP($C77,'[27]TDA HT &amp; LT'!$B$7:$V$51,13,0)</f>
        <v>297491.63</v>
      </c>
      <c r="AH77" s="4">
        <f>VLOOKUP($C77,'[27]TDA HT &amp; LT'!$B$7:$V$51,14,0)</f>
        <v>0</v>
      </c>
      <c r="AI77">
        <f>VLOOKUP($C77,'[27]TDA HT &amp; LT'!$B$7:$V$51,15,0)</f>
        <v>0</v>
      </c>
      <c r="AJ77">
        <f>VLOOKUP($C77,'[27]TDA HT &amp; LT'!$B$7:$V$51,16,0)</f>
        <v>0</v>
      </c>
      <c r="AK77" s="5">
        <f>VLOOKUP($C77,'[27]TDA HT &amp; LT'!$B$7:$V$51,17,0)</f>
        <v>0</v>
      </c>
      <c r="AL77" s="4">
        <f>VLOOKUP($C77,'[27]TDA HT &amp; LT'!$B$7:$V$51,18,0)</f>
        <v>0</v>
      </c>
      <c r="AM77">
        <f>VLOOKUP($C77,'[27]TDA HT &amp; LT'!$B$7:$V$51,19,0)</f>
        <v>0</v>
      </c>
      <c r="AN77">
        <f>VLOOKUP($C77,'[27]TDA HT &amp; LT'!$B$7:$V$51,20,0)</f>
        <v>0</v>
      </c>
      <c r="AO77" s="5">
        <f>VLOOKUP($C77,'[27]TDA HT &amp; LT'!$B$7:$V$51,21,0)</f>
        <v>0</v>
      </c>
      <c r="AP77" s="4">
        <f t="shared" si="2"/>
        <v>7753903.9800000004</v>
      </c>
      <c r="AQ77">
        <f t="shared" si="2"/>
        <v>45313.919999999998</v>
      </c>
      <c r="AR77">
        <f t="shared" si="2"/>
        <v>675194.99</v>
      </c>
      <c r="AS77" s="5">
        <f t="shared" si="2"/>
        <v>675194.99</v>
      </c>
      <c r="AU77" s="18">
        <v>227610</v>
      </c>
      <c r="AV77" s="18"/>
      <c r="AW77" s="18">
        <v>5690.2699999999995</v>
      </c>
      <c r="AX77" s="18">
        <v>5690.2699999999995</v>
      </c>
    </row>
    <row r="78" spans="1:50">
      <c r="A78" s="22" t="s">
        <v>98</v>
      </c>
      <c r="B78">
        <v>2229</v>
      </c>
      <c r="C78" s="18">
        <v>462</v>
      </c>
      <c r="D78" s="18">
        <v>155307</v>
      </c>
      <c r="E78" s="18">
        <v>8574</v>
      </c>
      <c r="F78" s="18">
        <v>9690</v>
      </c>
      <c r="G78" s="19">
        <v>9690</v>
      </c>
      <c r="H78" s="20"/>
      <c r="I78" s="18"/>
      <c r="J78" s="18"/>
      <c r="K78" s="19"/>
      <c r="L78" s="20"/>
      <c r="M78" s="18"/>
      <c r="N78" s="18"/>
      <c r="O78" s="18"/>
      <c r="P78" s="19"/>
      <c r="Q78" s="20"/>
      <c r="R78" s="18"/>
      <c r="S78" s="18"/>
      <c r="T78" s="18"/>
      <c r="U78" s="19"/>
      <c r="V78">
        <f>VLOOKUP($C78,'[27]TDA HT &amp; LT'!$B$7:$V$51,2,0)</f>
        <v>41790257.719999999</v>
      </c>
      <c r="W78">
        <f>VLOOKUP($C78,'[27]TDA HT &amp; LT'!$B$7:$V$51,3,0)</f>
        <v>0</v>
      </c>
      <c r="X78">
        <f>VLOOKUP($C78,'[27]TDA HT &amp; LT'!$B$7:$V$51,4,0)</f>
        <v>3761125.1299999994</v>
      </c>
      <c r="Y78">
        <f>VLOOKUP($C78,'[27]TDA HT &amp; LT'!$B$7:$V$51,5,0)</f>
        <v>3761125.1299999994</v>
      </c>
      <c r="Z78" s="4">
        <f>VLOOKUP($C78,'[27]TDA HT &amp; LT'!$B$7:$V$51,6,0)</f>
        <v>0</v>
      </c>
      <c r="AA78">
        <f>VLOOKUP($C78,'[27]TDA HT &amp; LT'!$B$7:$V$51,7,0)</f>
        <v>0</v>
      </c>
      <c r="AB78">
        <f>VLOOKUP($C78,'[27]TDA HT &amp; LT'!$B$7:$V$51,8,0)</f>
        <v>0</v>
      </c>
      <c r="AC78" s="5">
        <f>VLOOKUP($C78,'[27]TDA HT &amp; LT'!$B$7:$V$51,9,0)</f>
        <v>0</v>
      </c>
      <c r="AD78" s="4">
        <f>VLOOKUP($C78,'[27]TDA HT &amp; LT'!$B$7:$V$51,10,0)</f>
        <v>5752783.8799999999</v>
      </c>
      <c r="AE78">
        <f>VLOOKUP($C78,'[27]TDA HT &amp; LT'!$B$7:$V$51,11,0)</f>
        <v>0</v>
      </c>
      <c r="AF78">
        <f>VLOOKUP($C78,'[27]TDA HT &amp; LT'!$B$7:$V$51,12,0)</f>
        <v>517742.67</v>
      </c>
      <c r="AG78" s="5">
        <f>VLOOKUP($C78,'[27]TDA HT &amp; LT'!$B$7:$V$51,13,0)</f>
        <v>517742.67</v>
      </c>
      <c r="AH78" s="4">
        <f>VLOOKUP($C78,'[27]TDA HT &amp; LT'!$B$7:$V$51,14,0)</f>
        <v>0</v>
      </c>
      <c r="AI78">
        <f>VLOOKUP($C78,'[27]TDA HT &amp; LT'!$B$7:$V$51,15,0)</f>
        <v>0</v>
      </c>
      <c r="AJ78">
        <f>VLOOKUP($C78,'[27]TDA HT &amp; LT'!$B$7:$V$51,16,0)</f>
        <v>0</v>
      </c>
      <c r="AK78" s="5">
        <f>VLOOKUP($C78,'[27]TDA HT &amp; LT'!$B$7:$V$51,17,0)</f>
        <v>0</v>
      </c>
      <c r="AL78" s="4">
        <f>VLOOKUP($C78,'[27]TDA HT &amp; LT'!$B$7:$V$51,18,0)</f>
        <v>0</v>
      </c>
      <c r="AM78">
        <f>VLOOKUP($C78,'[27]TDA HT &amp; LT'!$B$7:$V$51,19,0)</f>
        <v>0</v>
      </c>
      <c r="AN78">
        <f>VLOOKUP($C78,'[27]TDA HT &amp; LT'!$B$7:$V$51,20,0)</f>
        <v>0</v>
      </c>
      <c r="AO78" s="5">
        <f>VLOOKUP($C78,'[27]TDA HT &amp; LT'!$B$7:$V$51,21,0)</f>
        <v>0</v>
      </c>
      <c r="AP78" s="4">
        <f t="shared" si="2"/>
        <v>47698348.600000001</v>
      </c>
      <c r="AQ78">
        <f t="shared" si="2"/>
        <v>8574</v>
      </c>
      <c r="AR78">
        <f t="shared" si="2"/>
        <v>4288557.8</v>
      </c>
      <c r="AS78" s="5">
        <f t="shared" si="2"/>
        <v>4288557.8</v>
      </c>
      <c r="AU78" s="18">
        <v>219341</v>
      </c>
      <c r="AV78" s="18"/>
      <c r="AW78" s="18">
        <v>5483.5250000000005</v>
      </c>
      <c r="AX78" s="18">
        <v>5483.5250000000005</v>
      </c>
    </row>
    <row r="79" spans="1:50">
      <c r="A79" s="22" t="s">
        <v>99</v>
      </c>
      <c r="B79">
        <v>2601</v>
      </c>
      <c r="C79" s="18">
        <v>510</v>
      </c>
      <c r="D79" s="18">
        <v>7701666</v>
      </c>
      <c r="E79" s="18">
        <v>0</v>
      </c>
      <c r="F79" s="18">
        <v>693149.95000000007</v>
      </c>
      <c r="G79" s="19">
        <v>693149.95000000007</v>
      </c>
      <c r="H79" s="20"/>
      <c r="I79" s="18"/>
      <c r="J79" s="18"/>
      <c r="K79" s="19"/>
      <c r="L79" s="20" t="s">
        <v>100</v>
      </c>
      <c r="M79" s="18">
        <v>0</v>
      </c>
      <c r="N79" s="23">
        <v>-112072.86</v>
      </c>
      <c r="O79" s="23">
        <v>56036.5</v>
      </c>
      <c r="P79" s="24">
        <v>56036.5</v>
      </c>
      <c r="Q79" s="20"/>
      <c r="R79" s="18"/>
      <c r="S79" s="18"/>
      <c r="T79" s="18"/>
      <c r="U79" s="19"/>
      <c r="Z79" s="4"/>
      <c r="AC79" s="5"/>
      <c r="AD79" s="4"/>
      <c r="AG79" s="5"/>
      <c r="AH79" s="4"/>
      <c r="AK79" s="5"/>
      <c r="AL79" s="4"/>
      <c r="AO79" s="5"/>
      <c r="AP79" s="4">
        <f t="shared" si="2"/>
        <v>7701666</v>
      </c>
      <c r="AQ79">
        <f t="shared" si="2"/>
        <v>-112072.86</v>
      </c>
      <c r="AR79">
        <f t="shared" si="2"/>
        <v>749186.45000000007</v>
      </c>
      <c r="AS79" s="5">
        <f t="shared" si="2"/>
        <v>749186.45000000007</v>
      </c>
      <c r="AU79" s="18">
        <v>126776.19047619047</v>
      </c>
      <c r="AV79" s="18"/>
      <c r="AW79" s="18">
        <v>3169.4047619047619</v>
      </c>
      <c r="AX79" s="18">
        <v>3169.4047619047619</v>
      </c>
    </row>
    <row r="80" spans="1:50">
      <c r="A80" s="22" t="s">
        <v>101</v>
      </c>
      <c r="B80">
        <v>2602</v>
      </c>
      <c r="C80" s="18">
        <v>530</v>
      </c>
      <c r="D80" s="18">
        <v>5433698.5</v>
      </c>
      <c r="E80" s="18">
        <v>0</v>
      </c>
      <c r="F80" s="18">
        <v>489032.86999999994</v>
      </c>
      <c r="G80" s="19">
        <v>489032.86999999994</v>
      </c>
      <c r="H80" s="20"/>
      <c r="I80" s="18"/>
      <c r="J80" s="18"/>
      <c r="K80" s="19"/>
      <c r="Z80" s="4"/>
      <c r="AC80" s="5"/>
      <c r="AD80" s="4"/>
      <c r="AG80" s="5"/>
      <c r="AH80" s="4"/>
      <c r="AK80" s="5"/>
      <c r="AL80" s="4"/>
      <c r="AO80" s="5"/>
      <c r="AP80" s="4">
        <f t="shared" si="2"/>
        <v>5433698.5</v>
      </c>
      <c r="AQ80">
        <f t="shared" si="2"/>
        <v>0</v>
      </c>
      <c r="AR80">
        <f t="shared" si="2"/>
        <v>489032.86999999994</v>
      </c>
      <c r="AS80" s="5">
        <f t="shared" si="2"/>
        <v>489032.86999999994</v>
      </c>
      <c r="AU80" s="18"/>
      <c r="AV80" s="18"/>
      <c r="AW80" s="18"/>
      <c r="AX80" s="18"/>
    </row>
    <row r="81" spans="1:50">
      <c r="A81" s="57"/>
      <c r="B81" s="34"/>
      <c r="C81" s="28"/>
      <c r="D81" s="23"/>
      <c r="E81" s="28"/>
      <c r="F81" s="28"/>
      <c r="G81" s="29"/>
      <c r="H81" s="20"/>
      <c r="I81" s="18"/>
      <c r="J81" s="18"/>
      <c r="K81" s="19"/>
      <c r="L81" s="20"/>
      <c r="M81" s="18"/>
      <c r="N81" s="18"/>
      <c r="O81" s="18"/>
      <c r="P81" s="19"/>
      <c r="Q81" s="20"/>
      <c r="R81" s="18"/>
      <c r="S81" s="18"/>
      <c r="T81" s="18"/>
      <c r="U81" s="19"/>
      <c r="Z81" s="4"/>
      <c r="AC81" s="5"/>
      <c r="AD81" s="4"/>
      <c r="AG81" s="5"/>
      <c r="AH81" s="4"/>
      <c r="AK81" s="5"/>
      <c r="AL81" s="4"/>
      <c r="AO81" s="5"/>
      <c r="AP81" s="4">
        <f t="shared" si="2"/>
        <v>0</v>
      </c>
      <c r="AQ81">
        <f t="shared" si="2"/>
        <v>0</v>
      </c>
      <c r="AR81">
        <f t="shared" si="2"/>
        <v>0</v>
      </c>
      <c r="AS81" s="5">
        <f t="shared" si="2"/>
        <v>0</v>
      </c>
      <c r="AU81" s="18"/>
      <c r="AV81" s="18"/>
      <c r="AW81" s="18"/>
      <c r="AX81" s="18"/>
    </row>
    <row r="82" spans="1:50">
      <c r="A82" s="58" t="s">
        <v>102</v>
      </c>
      <c r="B82">
        <v>2206</v>
      </c>
      <c r="C82" s="34">
        <v>404</v>
      </c>
      <c r="D82" s="28"/>
      <c r="E82" s="28"/>
      <c r="F82" s="28"/>
      <c r="G82" s="28"/>
      <c r="H82" s="20"/>
      <c r="I82" s="18"/>
      <c r="J82" s="18"/>
      <c r="K82" s="19"/>
      <c r="L82" s="20"/>
      <c r="M82" s="18"/>
      <c r="N82" s="18"/>
      <c r="O82" s="18"/>
      <c r="P82" s="19"/>
      <c r="Q82" s="20"/>
      <c r="R82" s="18"/>
      <c r="S82" s="18"/>
      <c r="T82" s="18"/>
      <c r="U82" s="19"/>
      <c r="Z82" s="4"/>
      <c r="AC82" s="5"/>
      <c r="AD82" s="35">
        <v>-104706</v>
      </c>
      <c r="AE82" s="34">
        <v>-15972</v>
      </c>
      <c r="AF82" s="34">
        <v>-1437.54</v>
      </c>
      <c r="AG82" s="36">
        <v>-1437.54</v>
      </c>
      <c r="AH82" s="4"/>
      <c r="AK82" s="5"/>
      <c r="AL82" s="4"/>
      <c r="AO82" s="5"/>
      <c r="AP82" s="4">
        <f t="shared" si="2"/>
        <v>-104706</v>
      </c>
      <c r="AQ82">
        <f t="shared" si="2"/>
        <v>-15972</v>
      </c>
      <c r="AR82">
        <f t="shared" si="2"/>
        <v>-1437.54</v>
      </c>
      <c r="AS82" s="5">
        <f t="shared" si="2"/>
        <v>-1437.54</v>
      </c>
      <c r="AU82" s="18"/>
      <c r="AV82" s="18"/>
      <c r="AW82" s="18"/>
      <c r="AX82" s="18"/>
    </row>
    <row r="83" spans="1:50">
      <c r="A83" s="58"/>
      <c r="C83" s="34"/>
      <c r="D83" s="23"/>
      <c r="E83" s="28"/>
      <c r="F83" s="28"/>
      <c r="G83" s="28"/>
      <c r="H83" s="20"/>
      <c r="I83" s="18"/>
      <c r="J83" s="18"/>
      <c r="K83" s="19"/>
      <c r="L83" s="20"/>
      <c r="M83" s="18"/>
      <c r="N83" s="18"/>
      <c r="O83" s="18"/>
      <c r="P83" s="19"/>
      <c r="Q83" s="20"/>
      <c r="R83" s="18"/>
      <c r="S83" s="18"/>
      <c r="T83" s="18"/>
      <c r="U83" s="19"/>
      <c r="Z83" s="4"/>
      <c r="AC83" s="5"/>
      <c r="AD83" s="4"/>
      <c r="AG83" s="5"/>
      <c r="AH83" s="4"/>
      <c r="AK83" s="5"/>
      <c r="AL83" s="4"/>
      <c r="AO83" s="5"/>
      <c r="AP83" s="4">
        <f t="shared" si="2"/>
        <v>0</v>
      </c>
      <c r="AQ83">
        <f t="shared" si="2"/>
        <v>0</v>
      </c>
      <c r="AR83">
        <f t="shared" si="2"/>
        <v>0</v>
      </c>
      <c r="AS83" s="5">
        <f t="shared" si="2"/>
        <v>0</v>
      </c>
      <c r="AU83" s="18"/>
      <c r="AV83" s="18"/>
      <c r="AW83" s="18"/>
      <c r="AX83" s="18"/>
    </row>
    <row r="84" spans="1:50">
      <c r="A84" s="58"/>
      <c r="C84" s="34"/>
      <c r="D84" s="23"/>
      <c r="E84" s="28"/>
      <c r="F84" s="28"/>
      <c r="G84" s="28"/>
      <c r="H84" s="20"/>
      <c r="I84" s="18"/>
      <c r="J84" s="18"/>
      <c r="K84" s="19"/>
      <c r="L84" s="20"/>
      <c r="M84" s="18"/>
      <c r="N84" s="18"/>
      <c r="O84" s="18"/>
      <c r="P84" s="19"/>
      <c r="Q84" s="20"/>
      <c r="R84" s="18"/>
      <c r="S84" s="18"/>
      <c r="T84" s="18"/>
      <c r="U84" s="19"/>
      <c r="Z84" s="4"/>
      <c r="AC84" s="5"/>
      <c r="AD84" s="4"/>
      <c r="AG84" s="5"/>
      <c r="AH84" s="4"/>
      <c r="AK84" s="5"/>
      <c r="AL84" s="4"/>
      <c r="AO84" s="5"/>
      <c r="AP84" s="4">
        <f t="shared" si="2"/>
        <v>0</v>
      </c>
      <c r="AQ84">
        <f t="shared" si="2"/>
        <v>0</v>
      </c>
      <c r="AR84">
        <f t="shared" si="2"/>
        <v>0</v>
      </c>
      <c r="AS84" s="5">
        <f t="shared" si="2"/>
        <v>0</v>
      </c>
      <c r="AU84" s="18"/>
      <c r="AV84" s="18"/>
      <c r="AW84" s="18"/>
      <c r="AX84" s="18"/>
    </row>
    <row r="85" spans="1:50">
      <c r="A85" s="59" t="s">
        <v>103</v>
      </c>
      <c r="B85">
        <v>2101</v>
      </c>
      <c r="C85" s="18">
        <v>999</v>
      </c>
      <c r="D85" s="18"/>
      <c r="E85" s="18">
        <v>-1634520.8614000005</v>
      </c>
      <c r="F85" s="18"/>
      <c r="G85" s="19"/>
      <c r="H85" s="20"/>
      <c r="I85" s="18"/>
      <c r="J85" s="18"/>
      <c r="K85" s="19"/>
      <c r="L85" s="20"/>
      <c r="M85" s="18"/>
      <c r="N85" s="18"/>
      <c r="O85" s="18"/>
      <c r="P85" s="19"/>
      <c r="Q85" s="20"/>
      <c r="R85" s="18"/>
      <c r="S85" s="18"/>
      <c r="T85" s="18"/>
      <c r="U85" s="19"/>
      <c r="Z85" s="4"/>
      <c r="AC85" s="5"/>
      <c r="AD85" s="4"/>
      <c r="AG85" s="5"/>
      <c r="AH85" s="4"/>
      <c r="AK85" s="5"/>
      <c r="AL85" s="4"/>
      <c r="AO85" s="5"/>
      <c r="AP85" s="4">
        <f t="shared" si="2"/>
        <v>0</v>
      </c>
      <c r="AQ85">
        <f t="shared" si="2"/>
        <v>-1634520.8614000005</v>
      </c>
      <c r="AR85">
        <f t="shared" si="2"/>
        <v>0</v>
      </c>
      <c r="AS85" s="5">
        <f t="shared" si="2"/>
        <v>0</v>
      </c>
      <c r="AU85" s="18"/>
      <c r="AV85" s="18"/>
      <c r="AW85" s="18"/>
      <c r="AX85" s="18"/>
    </row>
    <row r="86" spans="1:50">
      <c r="A86" s="60" t="s">
        <v>104</v>
      </c>
      <c r="B86">
        <v>2206</v>
      </c>
      <c r="C86" s="28">
        <v>404</v>
      </c>
      <c r="D86" s="18"/>
      <c r="E86" s="18"/>
      <c r="F86" s="18"/>
      <c r="G86" s="19"/>
      <c r="H86" s="20"/>
      <c r="I86" s="18"/>
      <c r="J86" s="18"/>
      <c r="K86" s="19"/>
      <c r="L86" s="20"/>
      <c r="M86" s="18"/>
      <c r="N86" s="18"/>
      <c r="O86" s="18"/>
      <c r="P86" s="19"/>
      <c r="Q86" s="20"/>
      <c r="R86" s="18"/>
      <c r="S86" s="18"/>
      <c r="T86" s="18"/>
      <c r="U86" s="19"/>
      <c r="Z86" s="4"/>
      <c r="AC86" s="5"/>
      <c r="AD86" s="28">
        <v>0</v>
      </c>
      <c r="AE86" s="28">
        <v>-31.5</v>
      </c>
      <c r="AF86" s="28">
        <v>19.75</v>
      </c>
      <c r="AG86" s="29">
        <v>11.75</v>
      </c>
      <c r="AH86" s="4"/>
      <c r="AK86" s="5"/>
      <c r="AL86" s="4"/>
      <c r="AO86" s="5"/>
      <c r="AP86" s="4">
        <f t="shared" si="2"/>
        <v>0</v>
      </c>
      <c r="AQ86">
        <f t="shared" si="2"/>
        <v>-31.5</v>
      </c>
      <c r="AR86">
        <f t="shared" si="2"/>
        <v>19.75</v>
      </c>
      <c r="AS86" s="5">
        <f t="shared" si="2"/>
        <v>11.75</v>
      </c>
      <c r="AU86" s="18"/>
      <c r="AV86" s="18"/>
      <c r="AW86" s="18"/>
      <c r="AX86" s="18"/>
    </row>
    <row r="87" spans="1:50">
      <c r="A87" s="59"/>
      <c r="B87" s="37"/>
      <c r="C87" s="18"/>
      <c r="D87" s="18"/>
      <c r="E87" s="18"/>
      <c r="F87" s="18"/>
      <c r="G87" s="19"/>
      <c r="H87" s="20"/>
      <c r="I87" s="18"/>
      <c r="J87" s="18"/>
      <c r="K87" s="19"/>
      <c r="L87" s="20"/>
      <c r="M87" s="18"/>
      <c r="N87" s="18"/>
      <c r="O87" s="18"/>
      <c r="P87" s="19"/>
      <c r="Q87" s="20"/>
      <c r="R87" s="18"/>
      <c r="S87" s="18"/>
      <c r="T87" s="18"/>
      <c r="U87" s="19"/>
      <c r="Z87" s="4"/>
      <c r="AC87" s="5"/>
      <c r="AD87" s="4"/>
      <c r="AG87" s="5"/>
      <c r="AH87" s="4"/>
      <c r="AK87" s="5"/>
      <c r="AL87" s="4"/>
      <c r="AO87" s="5"/>
      <c r="AP87" s="4">
        <f t="shared" si="2"/>
        <v>0</v>
      </c>
      <c r="AQ87">
        <f t="shared" si="2"/>
        <v>0</v>
      </c>
      <c r="AR87">
        <f t="shared" si="2"/>
        <v>0</v>
      </c>
      <c r="AS87" s="5">
        <f t="shared" si="2"/>
        <v>0</v>
      </c>
      <c r="AU87" s="18"/>
      <c r="AV87" s="18"/>
      <c r="AW87" s="18"/>
      <c r="AX87" s="18"/>
    </row>
    <row r="88" spans="1:50">
      <c r="A88" s="59"/>
      <c r="B88" s="37"/>
      <c r="C88" s="18"/>
      <c r="D88" s="18"/>
      <c r="E88" s="38"/>
      <c r="F88" s="18"/>
      <c r="G88" s="19"/>
      <c r="H88" s="20"/>
      <c r="I88" s="18"/>
      <c r="J88" s="18"/>
      <c r="K88" s="19"/>
      <c r="L88" s="20"/>
      <c r="M88" s="18"/>
      <c r="N88" s="18"/>
      <c r="O88" s="18"/>
      <c r="P88" s="19"/>
      <c r="Q88" s="20"/>
      <c r="R88" s="18"/>
      <c r="S88" s="18"/>
      <c r="T88" s="18"/>
      <c r="U88" s="19"/>
      <c r="Z88" s="4"/>
      <c r="AC88" s="5"/>
      <c r="AD88" s="4"/>
      <c r="AG88" s="5"/>
      <c r="AH88" s="4"/>
      <c r="AK88" s="5"/>
      <c r="AL88" s="4"/>
      <c r="AO88" s="5"/>
      <c r="AP88" s="4">
        <f t="shared" si="2"/>
        <v>0</v>
      </c>
      <c r="AQ88">
        <f t="shared" si="2"/>
        <v>0</v>
      </c>
      <c r="AR88">
        <f t="shared" si="2"/>
        <v>0</v>
      </c>
      <c r="AS88" s="5">
        <f t="shared" si="2"/>
        <v>0</v>
      </c>
      <c r="AU88" s="18"/>
      <c r="AV88" s="18"/>
      <c r="AW88" s="18"/>
      <c r="AX88" s="18"/>
    </row>
    <row r="89" spans="1:50">
      <c r="A89" s="22"/>
      <c r="G89" s="5"/>
      <c r="H89" s="4"/>
      <c r="K89" s="5"/>
      <c r="L89" s="4"/>
      <c r="P89" s="5"/>
      <c r="Q89" s="4"/>
      <c r="U89" s="5"/>
      <c r="Z89" s="4"/>
      <c r="AC89" s="5"/>
      <c r="AD89" s="4"/>
      <c r="AG89" s="5"/>
      <c r="AH89" s="4"/>
      <c r="AK89" s="5"/>
      <c r="AL89" s="4"/>
      <c r="AO89" s="5"/>
      <c r="AP89" s="4">
        <f t="shared" si="2"/>
        <v>0</v>
      </c>
      <c r="AQ89">
        <f t="shared" si="2"/>
        <v>0</v>
      </c>
      <c r="AR89">
        <f t="shared" si="2"/>
        <v>0</v>
      </c>
      <c r="AS89" s="5">
        <f t="shared" si="2"/>
        <v>0</v>
      </c>
      <c r="AU89" s="18"/>
      <c r="AV89" s="18"/>
      <c r="AW89" s="18"/>
      <c r="AX89" s="18"/>
    </row>
    <row r="90" spans="1:50" ht="15.75" thickBot="1">
      <c r="A90" s="22"/>
      <c r="G90" s="5"/>
      <c r="H90" s="4"/>
      <c r="K90" s="5"/>
      <c r="L90" s="4"/>
      <c r="P90" s="5"/>
      <c r="Q90" s="4"/>
      <c r="U90" s="5"/>
      <c r="Z90" s="4"/>
      <c r="AC90" s="5"/>
      <c r="AD90" s="4"/>
      <c r="AG90" s="5"/>
      <c r="AH90" s="4"/>
      <c r="AK90" s="5"/>
      <c r="AL90" s="4"/>
      <c r="AO90" s="5"/>
      <c r="AP90" s="4">
        <f t="shared" si="2"/>
        <v>0</v>
      </c>
      <c r="AQ90">
        <f t="shared" si="2"/>
        <v>0</v>
      </c>
      <c r="AR90">
        <f t="shared" si="2"/>
        <v>0</v>
      </c>
      <c r="AS90" s="5">
        <f t="shared" si="2"/>
        <v>0</v>
      </c>
      <c r="AU90" s="18"/>
      <c r="AV90" s="18"/>
      <c r="AW90" s="18"/>
      <c r="AX90" s="18"/>
    </row>
    <row r="91" spans="1:50" ht="15.75" thickBot="1">
      <c r="A91" s="61" t="s">
        <v>105</v>
      </c>
      <c r="B91" s="40"/>
      <c r="C91" s="39"/>
      <c r="D91" s="40">
        <f>SUM(D6:D88)</f>
        <v>272963534.48999989</v>
      </c>
      <c r="E91" s="40">
        <f>SUM(E6:E85)</f>
        <v>-258679.98140000063</v>
      </c>
      <c r="F91" s="40">
        <f>SUM(F6:F85)</f>
        <v>18971855.6085</v>
      </c>
      <c r="G91" s="40">
        <f>SUM(G6:G85)</f>
        <v>18971855.6085</v>
      </c>
      <c r="H91" s="39">
        <f>SUM(H6:H88)</f>
        <v>0</v>
      </c>
      <c r="I91" s="39">
        <f>SUM(I6:I88)</f>
        <v>0</v>
      </c>
      <c r="J91" s="39">
        <f>SUM(J6:J88)</f>
        <v>0</v>
      </c>
      <c r="K91" s="39">
        <f>SUM(K6:K88)</f>
        <v>0</v>
      </c>
      <c r="L91" s="39"/>
      <c r="M91" s="40">
        <f>SUM(M6:M88)</f>
        <v>-643963</v>
      </c>
      <c r="N91" s="40">
        <f>SUM(N6:N88)</f>
        <v>-112447.26000000001</v>
      </c>
      <c r="O91" s="40">
        <f>SUM(O6:O88)</f>
        <v>1182.6800000000003</v>
      </c>
      <c r="P91" s="40">
        <f>SUM(P6:P88)</f>
        <v>1182.6800000000003</v>
      </c>
      <c r="Q91" s="39"/>
      <c r="R91" s="40">
        <f>SUM(R6:R88)</f>
        <v>42900</v>
      </c>
      <c r="S91" s="40">
        <f>SUM(S6:S88)</f>
        <v>66664.800000000003</v>
      </c>
      <c r="T91" s="40">
        <f>SUM(T6:T88)</f>
        <v>-28671.899999999994</v>
      </c>
      <c r="U91" s="40">
        <f>SUM(U6:U88)</f>
        <v>-28671.899999999994</v>
      </c>
      <c r="V91" s="39">
        <f t="shared" ref="V91:AX91" si="3">SUM(V6:V90)</f>
        <v>783900920.81000006</v>
      </c>
      <c r="W91" s="40">
        <f t="shared" si="3"/>
        <v>289218.74</v>
      </c>
      <c r="X91" s="40">
        <f t="shared" si="3"/>
        <v>68746539.450000003</v>
      </c>
      <c r="Y91" s="40">
        <f t="shared" si="3"/>
        <v>68746539.450000003</v>
      </c>
      <c r="Z91" s="39">
        <f t="shared" si="3"/>
        <v>2458979.61</v>
      </c>
      <c r="AA91" s="40">
        <f t="shared" si="3"/>
        <v>4044.6</v>
      </c>
      <c r="AB91" s="40">
        <f t="shared" si="3"/>
        <v>192862.78</v>
      </c>
      <c r="AC91" s="41">
        <f t="shared" si="3"/>
        <v>192862.78</v>
      </c>
      <c r="AD91" s="39">
        <f t="shared" si="3"/>
        <v>192060571.16999996</v>
      </c>
      <c r="AE91" s="40">
        <f t="shared" si="3"/>
        <v>-16003.5</v>
      </c>
      <c r="AF91" s="40">
        <f t="shared" si="3"/>
        <v>17293417.700000003</v>
      </c>
      <c r="AG91" s="41">
        <f t="shared" si="3"/>
        <v>17293409.700000003</v>
      </c>
      <c r="AH91" s="39">
        <f t="shared" si="3"/>
        <v>2978090.7099998612</v>
      </c>
      <c r="AI91" s="40">
        <f t="shared" si="3"/>
        <v>27670.611400000278</v>
      </c>
      <c r="AJ91" s="40">
        <f t="shared" si="3"/>
        <v>910546.12670000934</v>
      </c>
      <c r="AK91" s="41">
        <f t="shared" si="3"/>
        <v>910546.12670000934</v>
      </c>
      <c r="AL91" s="39">
        <f t="shared" si="3"/>
        <v>1856283.9899999909</v>
      </c>
      <c r="AM91" s="40">
        <f t="shared" si="3"/>
        <v>0</v>
      </c>
      <c r="AN91" s="40">
        <f t="shared" si="3"/>
        <v>169256.89000000083</v>
      </c>
      <c r="AO91" s="40">
        <f t="shared" si="3"/>
        <v>169256.89000000083</v>
      </c>
      <c r="AP91" s="42">
        <f t="shared" si="3"/>
        <v>1255617317.7799995</v>
      </c>
      <c r="AQ91" s="42">
        <f t="shared" si="3"/>
        <v>468.00999999977648</v>
      </c>
      <c r="AR91" s="43">
        <f t="shared" si="3"/>
        <v>106256989.33519998</v>
      </c>
      <c r="AS91" s="42">
        <f t="shared" si="3"/>
        <v>106256981.33519998</v>
      </c>
      <c r="AU91" s="44">
        <f t="shared" si="3"/>
        <v>110636032.51082326</v>
      </c>
      <c r="AV91" s="44">
        <f t="shared" si="3"/>
        <v>0</v>
      </c>
      <c r="AW91" s="44">
        <f t="shared" si="3"/>
        <v>8570867.9020205829</v>
      </c>
      <c r="AX91" s="44">
        <f t="shared" si="3"/>
        <v>8570868.1520205829</v>
      </c>
    </row>
    <row r="92" spans="1:50" ht="15.75" thickBot="1">
      <c r="A92" s="62"/>
      <c r="B92" s="46"/>
      <c r="C92" s="45"/>
      <c r="D92" s="46"/>
      <c r="E92" s="46"/>
      <c r="F92" s="46"/>
      <c r="G92" s="47"/>
      <c r="H92" s="45"/>
      <c r="I92" s="46"/>
      <c r="J92" s="46"/>
      <c r="K92" s="47"/>
      <c r="L92" s="45"/>
      <c r="M92" s="46"/>
      <c r="N92" s="46"/>
      <c r="O92" s="46"/>
      <c r="P92" s="47"/>
      <c r="Q92" s="45"/>
      <c r="R92" s="46"/>
      <c r="S92" s="46"/>
      <c r="T92" s="46"/>
      <c r="U92" s="46"/>
      <c r="V92" s="48"/>
      <c r="W92" s="49"/>
      <c r="X92" s="49"/>
      <c r="Y92" s="50"/>
      <c r="Z92" s="45"/>
      <c r="AA92" s="46"/>
      <c r="AB92" s="46"/>
      <c r="AC92" s="47"/>
      <c r="AD92" s="45"/>
      <c r="AE92" s="46"/>
      <c r="AF92" s="46"/>
      <c r="AG92" s="47"/>
      <c r="AH92" s="45"/>
      <c r="AI92" s="46"/>
      <c r="AJ92" s="46"/>
      <c r="AK92" s="47"/>
      <c r="AL92" s="45"/>
      <c r="AM92" s="46"/>
      <c r="AN92" s="46"/>
      <c r="AO92" s="47"/>
      <c r="AP92" s="46"/>
      <c r="AQ92" s="46"/>
      <c r="AR92" s="46"/>
      <c r="AS92" s="46"/>
      <c r="AU92" s="18"/>
      <c r="AV92" s="18"/>
      <c r="AW92" s="18"/>
      <c r="AX92" s="18"/>
    </row>
    <row r="93" spans="1:50" ht="15.75" thickBot="1">
      <c r="A93" s="61" t="s">
        <v>106</v>
      </c>
      <c r="B93" s="40"/>
      <c r="C93" s="39"/>
      <c r="D93" s="40">
        <v>272963534.40999937</v>
      </c>
      <c r="E93" s="40">
        <v>-258680.33999999997</v>
      </c>
      <c r="F93" s="40">
        <v>18971854.819999829</v>
      </c>
      <c r="G93" s="41">
        <v>18971862.819999829</v>
      </c>
      <c r="H93" s="39"/>
      <c r="I93" s="40"/>
      <c r="J93" s="40"/>
      <c r="K93" s="41"/>
      <c r="L93" s="39"/>
      <c r="M93" s="40">
        <v>-643963.04000103474</v>
      </c>
      <c r="N93" s="40">
        <f>-112478.601400001+31.5</f>
        <v>-112447.101400001</v>
      </c>
      <c r="O93" s="40">
        <f>1202.75330020487-19.75</f>
        <v>1183.0033002048699</v>
      </c>
      <c r="P93" s="41">
        <f>1194.75330020487-11.75</f>
        <v>1183.0033002048699</v>
      </c>
      <c r="Q93" s="39"/>
      <c r="R93" s="40">
        <v>42900.009997963905</v>
      </c>
      <c r="S93" s="40">
        <v>66197</v>
      </c>
      <c r="T93" s="40">
        <v>-28436.889999985695</v>
      </c>
      <c r="U93" s="40">
        <v>-28436.889999985695</v>
      </c>
      <c r="V93" s="45">
        <v>783900920.81000066</v>
      </c>
      <c r="W93" s="46">
        <v>289218.74</v>
      </c>
      <c r="X93" s="46">
        <v>68746539.450000167</v>
      </c>
      <c r="Y93" s="47">
        <v>68746539.450000167</v>
      </c>
      <c r="Z93" s="45">
        <v>2458979.61</v>
      </c>
      <c r="AA93" s="46">
        <v>4044.6</v>
      </c>
      <c r="AB93" s="46">
        <v>192862.78</v>
      </c>
      <c r="AC93" s="47">
        <v>192862.78</v>
      </c>
      <c r="AD93" s="45">
        <f>192165277.17+AD82</f>
        <v>192060571.16999999</v>
      </c>
      <c r="AE93" s="46">
        <f>0+AE82-31.5</f>
        <v>-16003.5</v>
      </c>
      <c r="AF93" s="46">
        <f>17294835.49+AF82+19.75</f>
        <v>17293417.699999999</v>
      </c>
      <c r="AG93" s="47">
        <f>17294835.49+AG82+11.75</f>
        <v>17293409.699999999</v>
      </c>
      <c r="AH93" s="45">
        <v>2978092.0400010347</v>
      </c>
      <c r="AI93" s="46">
        <v>27670.601400000509</v>
      </c>
      <c r="AJ93" s="46">
        <v>910546.24669979513</v>
      </c>
      <c r="AK93" s="47">
        <v>910546.24669979513</v>
      </c>
      <c r="AL93" s="45">
        <v>1856283.9900020361</v>
      </c>
      <c r="AM93" s="46">
        <v>0</v>
      </c>
      <c r="AN93" s="46">
        <v>169256.88999998569</v>
      </c>
      <c r="AO93" s="47">
        <v>169256.88999998569</v>
      </c>
      <c r="AP93" s="45">
        <f>D93+H93+M93+R93+V93+Z93+AD93+AH93+AL93</f>
        <v>1255617319</v>
      </c>
      <c r="AQ93" s="46">
        <f>E93+I93+N93+S93+W93+AA93+AE93+AI93+AM93</f>
        <v>-4.4383341446518898E-10</v>
      </c>
      <c r="AR93" s="46">
        <f>F93+J93+O93+T93+X93+AB93+AF93+AJ93+AN93</f>
        <v>106257224</v>
      </c>
      <c r="AS93" s="46">
        <f>G93+K93+P93+U93+Y93+AC93+AG93+AK93+AO93</f>
        <v>106257224</v>
      </c>
      <c r="AU93" s="18"/>
      <c r="AV93" s="18"/>
      <c r="AW93" s="18"/>
      <c r="AX93" s="18"/>
    </row>
    <row r="94" spans="1:50" ht="15.75" thickBot="1">
      <c r="A94" s="62"/>
      <c r="B94" s="46"/>
      <c r="C94" s="45"/>
      <c r="D94" s="46"/>
      <c r="E94" s="46"/>
      <c r="F94" s="46"/>
      <c r="G94" s="47"/>
      <c r="H94" s="45"/>
      <c r="I94" s="46"/>
      <c r="J94" s="46"/>
      <c r="K94" s="47"/>
      <c r="L94" s="45"/>
      <c r="M94" s="46"/>
      <c r="N94" s="46"/>
      <c r="O94" s="46"/>
      <c r="P94" s="47"/>
      <c r="Q94" s="45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6"/>
      <c r="AC94" s="47"/>
      <c r="AD94" s="45"/>
      <c r="AE94" s="46"/>
      <c r="AF94" s="46"/>
      <c r="AG94" s="47"/>
      <c r="AH94" s="45"/>
      <c r="AI94" s="46"/>
      <c r="AJ94" s="46"/>
      <c r="AK94" s="47"/>
      <c r="AL94" s="45"/>
      <c r="AM94" s="46"/>
      <c r="AN94" s="46"/>
      <c r="AO94" s="47"/>
      <c r="AP94" s="46"/>
      <c r="AQ94" s="46"/>
      <c r="AR94" s="46"/>
      <c r="AS94" s="46"/>
      <c r="AU94" s="18"/>
      <c r="AV94" s="18"/>
      <c r="AW94" s="18"/>
      <c r="AX94" s="18"/>
    </row>
    <row r="95" spans="1:50" ht="15.75" thickBot="1">
      <c r="A95" s="61" t="s">
        <v>107</v>
      </c>
      <c r="B95" s="40"/>
      <c r="C95" s="39"/>
      <c r="D95" s="51">
        <f t="shared" ref="D95:K95" si="4">D91-D93</f>
        <v>8.0000519752502441E-2</v>
      </c>
      <c r="E95" s="51">
        <f t="shared" si="4"/>
        <v>0.35859999933745712</v>
      </c>
      <c r="F95" s="51">
        <f t="shared" si="4"/>
        <v>0.78850017115473747</v>
      </c>
      <c r="G95" s="51">
        <f t="shared" si="4"/>
        <v>-7.2114998288452625</v>
      </c>
      <c r="H95" s="51">
        <f t="shared" si="4"/>
        <v>0</v>
      </c>
      <c r="I95" s="40">
        <f t="shared" si="4"/>
        <v>0</v>
      </c>
      <c r="J95" s="51">
        <f t="shared" si="4"/>
        <v>0</v>
      </c>
      <c r="K95" s="51">
        <f t="shared" si="4"/>
        <v>0</v>
      </c>
      <c r="L95" s="39"/>
      <c r="M95" s="51">
        <f>M91-M93</f>
        <v>4.0001034736633301E-2</v>
      </c>
      <c r="N95" s="52">
        <f>N91-N93</f>
        <v>-0.15859999900567345</v>
      </c>
      <c r="O95" s="52">
        <f>O91-O93</f>
        <v>-0.32330020486961075</v>
      </c>
      <c r="P95" s="52">
        <f>P91-P93</f>
        <v>-0.32330020486961075</v>
      </c>
      <c r="Q95" s="39"/>
      <c r="R95" s="51">
        <f>R91-R93</f>
        <v>-9.9979639053344727E-3</v>
      </c>
      <c r="S95" s="51">
        <f>S91-S93</f>
        <v>467.80000000000291</v>
      </c>
      <c r="T95" s="51">
        <f>T91-T93</f>
        <v>-235.01000001429929</v>
      </c>
      <c r="U95" s="51">
        <f>U91-U93</f>
        <v>-235.01000001429929</v>
      </c>
      <c r="V95" s="40">
        <f t="shared" ref="V95:AO95" si="5">V91-V93</f>
        <v>0</v>
      </c>
      <c r="W95" s="40">
        <f t="shared" si="5"/>
        <v>0</v>
      </c>
      <c r="X95" s="52">
        <f t="shared" si="5"/>
        <v>-1.6391277313232422E-7</v>
      </c>
      <c r="Y95" s="52">
        <f t="shared" si="5"/>
        <v>-1.6391277313232422E-7</v>
      </c>
      <c r="Z95" s="52">
        <f t="shared" si="5"/>
        <v>0</v>
      </c>
      <c r="AA95" s="52">
        <f t="shared" si="5"/>
        <v>0</v>
      </c>
      <c r="AB95" s="52">
        <f t="shared" si="5"/>
        <v>0</v>
      </c>
      <c r="AC95" s="52">
        <f t="shared" si="5"/>
        <v>0</v>
      </c>
      <c r="AD95" s="52">
        <f t="shared" si="5"/>
        <v>0</v>
      </c>
      <c r="AE95" s="52">
        <f t="shared" si="5"/>
        <v>0</v>
      </c>
      <c r="AF95" s="52">
        <f t="shared" si="5"/>
        <v>0</v>
      </c>
      <c r="AG95" s="52">
        <f t="shared" si="5"/>
        <v>0</v>
      </c>
      <c r="AH95" s="52">
        <f t="shared" si="5"/>
        <v>-1.3300011735409498</v>
      </c>
      <c r="AI95" s="51">
        <f t="shared" si="5"/>
        <v>9.9999997692066245E-3</v>
      </c>
      <c r="AJ95" s="51">
        <f t="shared" si="5"/>
        <v>-0.11999978579115123</v>
      </c>
      <c r="AK95" s="51">
        <f t="shared" si="5"/>
        <v>-0.11999978579115123</v>
      </c>
      <c r="AL95" s="52">
        <f t="shared" si="5"/>
        <v>-2.0451843738555908E-6</v>
      </c>
      <c r="AM95" s="52">
        <f t="shared" si="5"/>
        <v>0</v>
      </c>
      <c r="AN95" s="52">
        <f t="shared" si="5"/>
        <v>1.5133991837501526E-8</v>
      </c>
      <c r="AO95" s="52">
        <f t="shared" si="5"/>
        <v>1.5133991837501526E-8</v>
      </c>
      <c r="AP95" s="53">
        <f>D95+H95+M95+R95+V95+Z95+AD95+AH95+AL95</f>
        <v>-1.2199996281415224</v>
      </c>
      <c r="AQ95" s="53">
        <f>E95+I95+N95+S95+W95+AA95+AE95+AI95+AM95</f>
        <v>468.0100000001039</v>
      </c>
      <c r="AR95" s="53">
        <f>F95+J95+O95+T95+X95+AB95+AF95+AJ95+AN95</f>
        <v>-234.6647999825841</v>
      </c>
      <c r="AS95" s="53">
        <f>G95+K95+P95+U95+Y95+AC95+AG95+AK95+AO95</f>
        <v>-242.6647999825841</v>
      </c>
      <c r="AU95" s="18"/>
      <c r="AV95" s="18"/>
      <c r="AW95" s="18"/>
      <c r="AX95" s="18"/>
    </row>
    <row r="97" spans="3:50">
      <c r="M97">
        <v>-643963</v>
      </c>
      <c r="N97">
        <v>-112360.82</v>
      </c>
      <c r="O97">
        <v>1190.6599000000083</v>
      </c>
      <c r="P97">
        <v>1191.3199000000045</v>
      </c>
      <c r="AO97" s="54" t="s">
        <v>108</v>
      </c>
      <c r="AP97" s="54">
        <v>1255617319</v>
      </c>
      <c r="AQ97" s="54"/>
      <c r="AR97" s="54">
        <v>106257224</v>
      </c>
      <c r="AS97" s="54">
        <v>106257224</v>
      </c>
    </row>
    <row r="98" spans="3:50">
      <c r="AO98" s="54" t="s">
        <v>109</v>
      </c>
      <c r="AP98" s="54">
        <v>110636032</v>
      </c>
      <c r="AQ98" s="54"/>
      <c r="AR98" s="54">
        <v>8570868</v>
      </c>
      <c r="AS98" s="54">
        <v>8570868</v>
      </c>
    </row>
    <row r="99" spans="3:50">
      <c r="D99" s="34"/>
      <c r="E99" s="34"/>
      <c r="F99" s="34"/>
      <c r="G99" s="34"/>
      <c r="AO99" s="54" t="s">
        <v>110</v>
      </c>
      <c r="AP99" s="54">
        <f>AP97+AP98</f>
        <v>1366253351</v>
      </c>
      <c r="AQ99" s="54">
        <f t="shared" ref="AQ99:AS99" si="6">AQ97+AQ98</f>
        <v>0</v>
      </c>
      <c r="AR99" s="54">
        <f t="shared" si="6"/>
        <v>114828092</v>
      </c>
      <c r="AS99" s="54">
        <f t="shared" si="6"/>
        <v>114828092</v>
      </c>
      <c r="AU99" s="63"/>
      <c r="AV99" s="63"/>
      <c r="AW99" s="63"/>
      <c r="AX99" s="63"/>
    </row>
    <row r="100" spans="3:50">
      <c r="D100" s="34"/>
      <c r="E100" s="34"/>
      <c r="F100" s="34"/>
      <c r="G100" s="34"/>
      <c r="M100">
        <f>M91-M97</f>
        <v>0</v>
      </c>
      <c r="N100">
        <f>N91-N97</f>
        <v>-86.440000000002328</v>
      </c>
      <c r="O100">
        <f>O91-O97</f>
        <v>-7.9799000000080014</v>
      </c>
      <c r="P100">
        <f>P91-P97</f>
        <v>-8.6399000000042179</v>
      </c>
      <c r="AJ100" s="55"/>
      <c r="AO100" s="54" t="s">
        <v>111</v>
      </c>
      <c r="AP100" s="56">
        <f>AP91-AP99</f>
        <v>-110636033.22000051</v>
      </c>
      <c r="AQ100" s="56">
        <f t="shared" ref="AQ100:AS100" si="7">AQ91-AQ99</f>
        <v>468.00999999977648</v>
      </c>
      <c r="AR100" s="56">
        <f t="shared" si="7"/>
        <v>-8571102.6648000181</v>
      </c>
      <c r="AS100" s="56">
        <f t="shared" si="7"/>
        <v>-8571110.6648000181</v>
      </c>
    </row>
    <row r="102" spans="3:50">
      <c r="AP102" s="55">
        <f>AP100+AU91</f>
        <v>-0.70917724072933197</v>
      </c>
      <c r="AQ102" s="55">
        <f>+AQ100-AV91</f>
        <v>468.00999999977648</v>
      </c>
      <c r="AR102" s="55">
        <f>AR100+AW91</f>
        <v>-234.76277943514287</v>
      </c>
      <c r="AS102" s="55">
        <f>+AS100+AX91</f>
        <v>-242.51277943514287</v>
      </c>
    </row>
    <row r="104" spans="3:50">
      <c r="AP104">
        <v>1255617319</v>
      </c>
      <c r="AQ104">
        <f>+AP91</f>
        <v>1255617317.7799995</v>
      </c>
      <c r="AR104">
        <f>+AP104-AQ104</f>
        <v>1.2200005054473877</v>
      </c>
    </row>
    <row r="105" spans="3:50">
      <c r="L105">
        <f>L96-L102</f>
        <v>0</v>
      </c>
      <c r="AP105">
        <v>0</v>
      </c>
      <c r="AQ105">
        <f>+AQ91</f>
        <v>468.00999999977648</v>
      </c>
      <c r="AR105">
        <f>+AP105-AQ105</f>
        <v>-468.00999999977648</v>
      </c>
    </row>
    <row r="106" spans="3:50">
      <c r="AP106">
        <v>106257224</v>
      </c>
      <c r="AQ106" s="55">
        <f>+AR91</f>
        <v>106256989.33519998</v>
      </c>
      <c r="AR106">
        <f>+AP106-AQ106</f>
        <v>234.66480001807213</v>
      </c>
    </row>
    <row r="107" spans="3:50">
      <c r="AP107">
        <v>106257224</v>
      </c>
      <c r="AQ107" s="55">
        <f>+AQ106</f>
        <v>106256989.33519998</v>
      </c>
      <c r="AR107">
        <f>+AP107-AQ107</f>
        <v>234.66480001807213</v>
      </c>
    </row>
    <row r="109" spans="3:50">
      <c r="C109">
        <v>43</v>
      </c>
    </row>
  </sheetData>
  <autoFilter ref="A5:AQ91" xr:uid="{00000000-0009-0000-0000-000000000000}"/>
  <mergeCells count="15">
    <mergeCell ref="AQ1:AS1"/>
    <mergeCell ref="AV1:AX1"/>
    <mergeCell ref="A2:G2"/>
    <mergeCell ref="AU3:AX3"/>
    <mergeCell ref="C4:G4"/>
    <mergeCell ref="H4:K4"/>
    <mergeCell ref="L4:P4"/>
    <mergeCell ref="Q4:U4"/>
    <mergeCell ref="V4:Y4"/>
    <mergeCell ref="Z4:AC4"/>
    <mergeCell ref="AD4:AG4"/>
    <mergeCell ref="AH4:AK4"/>
    <mergeCell ref="AL4:AO4"/>
    <mergeCell ref="AP4:AS4"/>
    <mergeCell ref="AU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2021 TDA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2022-08-10T07:01:20Z</dcterms:created>
  <dcterms:modified xsi:type="dcterms:W3CDTF">2022-10-20T10:16:56Z</dcterms:modified>
</cp:coreProperties>
</file>